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ERUEL\"/>
    </mc:Choice>
  </mc:AlternateContent>
  <workbookProtection workbookAlgorithmName="SHA-512" workbookHashValue="DLZcBAcBTFhtxl7y40bKfsA/oR3xqlr+FWRVNCVNra+wnmSV3gcYdphMNwswLXU/JengJXRPF3hdywi9+NDVcw==" workbookSaltValue="T0u1Uw7umn898JtgExMhb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BG12" i="13" s="1"/>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J13" i="16"/>
  <c r="R13" i="12"/>
  <c r="P20" i="19"/>
  <c r="BD18" i="8"/>
  <c r="BC13" i="13"/>
  <c r="N10" i="11"/>
  <c r="N9" i="11"/>
  <c r="ES20" i="8"/>
  <c r="C19" i="7"/>
  <c r="AC20" i="13"/>
  <c r="R20" i="8"/>
  <c r="EP20" i="19"/>
  <c r="T13" i="12"/>
  <c r="BD18" i="13"/>
  <c r="BF17" i="13"/>
  <c r="AE21" i="20"/>
  <c r="W21" i="21"/>
  <c r="AF21" i="27"/>
  <c r="O21" i="20"/>
  <c r="Q21" i="20"/>
  <c r="AZ21" i="20"/>
  <c r="Q21" i="27"/>
  <c r="AH21" i="20"/>
  <c r="Z21" i="27"/>
  <c r="AV21" i="20"/>
  <c r="H21" i="20"/>
  <c r="J21" i="20"/>
  <c r="E21" i="20"/>
  <c r="N21" i="27"/>
  <c r="BA21" i="27"/>
  <c r="BA21" i="20"/>
  <c r="AI21" i="27"/>
  <c r="AM21" i="20"/>
  <c r="AB21" i="27"/>
  <c r="S21" i="27"/>
  <c r="AF21" i="20"/>
  <c r="AY21" i="27"/>
  <c r="AI21" i="20"/>
  <c r="AR21" i="27"/>
  <c r="K21" i="20"/>
  <c r="AN21" i="20"/>
  <c r="AX21" i="20"/>
  <c r="AC21" i="20"/>
  <c r="AP21" i="27"/>
  <c r="T21" i="27"/>
  <c r="AO21" i="20"/>
  <c r="AB21" i="20"/>
  <c r="AD21" i="27"/>
  <c r="Y21" i="27"/>
  <c r="AQ21" i="21"/>
  <c r="AL21" i="20"/>
  <c r="AZ21" i="27"/>
  <c r="Z21" i="20"/>
  <c r="AQ21" i="20"/>
  <c r="BJ21" i="26"/>
  <c r="AG21" i="27"/>
  <c r="X21" i="20"/>
  <c r="AX21" i="27"/>
  <c r="G13" i="14"/>
  <c r="P21" i="20"/>
  <c r="AN21" i="27"/>
  <c r="AP21" i="20"/>
  <c r="U17" i="11"/>
  <c r="E21" i="27"/>
  <c r="AU21" i="27"/>
  <c r="W21" i="20"/>
  <c r="T21" i="20"/>
  <c r="U10" i="11"/>
  <c r="AW21" i="27"/>
  <c r="AG21" i="20"/>
  <c r="G19" i="14"/>
  <c r="AA21" i="20"/>
  <c r="AM21" i="27"/>
  <c r="AY21" i="20"/>
  <c r="AW21" i="20"/>
  <c r="AE21" i="27"/>
  <c r="F21" i="27"/>
  <c r="AV21" i="27"/>
  <c r="AL21" i="27"/>
  <c r="AJ21" i="20"/>
  <c r="M21" i="20"/>
  <c r="AA21" i="27"/>
  <c r="AH21" i="27"/>
  <c r="S21" i="20"/>
  <c r="AD21" i="20"/>
  <c r="X21" i="27"/>
  <c r="AQ21" i="27"/>
  <c r="O21" i="27"/>
  <c r="AU21" i="20"/>
  <c r="H21" i="27"/>
  <c r="W21" i="27"/>
  <c r="U12" i="11"/>
  <c r="N21" i="20"/>
  <c r="P21" i="27"/>
  <c r="AK21" i="20"/>
  <c r="Y21" i="20"/>
  <c r="M21" i="27"/>
  <c r="R21" i="20"/>
  <c r="L21" i="20"/>
  <c r="R21" i="27"/>
  <c r="L21" i="27"/>
  <c r="AJ21" i="27"/>
  <c r="O17" i="11"/>
  <c r="I21" i="20"/>
  <c r="F21" i="20"/>
  <c r="AC21" i="27"/>
  <c r="AK21" i="27"/>
  <c r="T21" i="21"/>
  <c r="J21" i="27"/>
  <c r="K21" i="27"/>
  <c r="BF18" i="8" l="1"/>
  <c r="BE17" i="13"/>
  <c r="BF15" i="13"/>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BF19" i="13" s="1"/>
  <c r="Z20" i="13"/>
  <c r="BE10" i="13"/>
  <c r="Y20" i="13"/>
  <c r="BD15" i="13"/>
  <c r="BB13" i="13"/>
  <c r="BG15" i="13"/>
  <c r="BM20" i="13"/>
  <c r="L20" i="13"/>
  <c r="N20" i="13"/>
  <c r="BB19" i="13"/>
  <c r="BE19" i="13" s="1"/>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K12" i="12" s="1"/>
  <c r="H18" i="7"/>
  <c r="J12" i="7"/>
  <c r="E11" i="6"/>
  <c r="D18" i="6"/>
  <c r="J18" i="12" s="1"/>
  <c r="AN18" i="11"/>
  <c r="AO18" i="11"/>
  <c r="C12" i="6"/>
  <c r="C11" i="6"/>
  <c r="F12" i="11"/>
  <c r="AQ12" i="11" s="1"/>
  <c r="D11" i="2"/>
  <c r="C10" i="6"/>
  <c r="I10" i="12" s="1"/>
  <c r="D11" i="12"/>
  <c r="AG13" i="21"/>
  <c r="AG20" i="21" s="1"/>
  <c r="BE12" i="8"/>
  <c r="I12" i="7" s="1"/>
  <c r="BF15" i="8"/>
  <c r="J15" i="7" s="1"/>
  <c r="K12" i="7"/>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V12" i="16" s="1"/>
  <c r="AL17" i="11"/>
  <c r="BG9" i="8"/>
  <c r="F11" i="12"/>
  <c r="H9" i="2"/>
  <c r="AN9" i="11"/>
  <c r="D9" i="6"/>
  <c r="J9" i="12" s="1"/>
  <c r="C9" i="6"/>
  <c r="K18" i="7"/>
  <c r="C18" i="6"/>
  <c r="I18" i="12" s="1"/>
  <c r="L18" i="14"/>
  <c r="W13" i="17"/>
  <c r="C15" i="6"/>
  <c r="AF13" i="21"/>
  <c r="AF20" i="21" s="1"/>
  <c r="E18" i="6"/>
  <c r="K18" i="12" s="1"/>
  <c r="B18" i="6"/>
  <c r="AL18" i="11"/>
  <c r="F9" i="12"/>
  <c r="Y9" i="11"/>
  <c r="U13" i="16"/>
  <c r="AQ11" i="17"/>
  <c r="BD9" i="8"/>
  <c r="H9" i="7" s="1"/>
  <c r="F18" i="17"/>
  <c r="AQ18" i="17" s="1"/>
  <c r="D9" i="2"/>
  <c r="AO9" i="11"/>
  <c r="B15" i="6"/>
  <c r="D15" i="2"/>
  <c r="C19" i="2"/>
  <c r="D19" i="2" s="1"/>
  <c r="AO15" i="11"/>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W13" i="16"/>
  <c r="M20" i="8"/>
  <c r="F19" i="7"/>
  <c r="AX20" i="21"/>
  <c r="BD22" i="21"/>
  <c r="AT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P20" i="8"/>
  <c r="BA20" i="19"/>
  <c r="BD13" i="19"/>
  <c r="BF13" i="19"/>
  <c r="AD20" i="8"/>
  <c r="V20" i="8"/>
  <c r="U15" i="17"/>
  <c r="U19" i="17" s="1"/>
  <c r="D13" i="3"/>
  <c r="N20" i="8"/>
  <c r="G20" i="7" s="1"/>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19" i="11"/>
  <c r="AS21" i="20"/>
  <c r="H13" i="14"/>
  <c r="AD13" i="14"/>
  <c r="Z13" i="14"/>
  <c r="M13" i="14"/>
  <c r="Y13" i="14"/>
  <c r="AA13" i="14"/>
  <c r="W13" i="14"/>
  <c r="P13" i="14"/>
  <c r="Q13" i="14"/>
  <c r="X13" i="14"/>
  <c r="AC13" i="14"/>
  <c r="AB13" i="14"/>
  <c r="U19" i="11"/>
  <c r="AA19" i="14"/>
  <c r="W19" i="14"/>
  <c r="H19" i="14"/>
  <c r="Z19" i="14"/>
  <c r="X19" i="14"/>
  <c r="AD19" i="14"/>
  <c r="Q19" i="14"/>
  <c r="P19" i="14"/>
  <c r="Y19" i="14"/>
  <c r="AC19" i="14"/>
  <c r="AB19" i="14"/>
  <c r="M19" i="14"/>
  <c r="U22" i="11"/>
  <c r="U13" i="11"/>
  <c r="U20" i="11"/>
  <c r="Z21" i="26"/>
  <c r="U21" i="27"/>
  <c r="BS21" i="26"/>
  <c r="AM21" i="26"/>
  <c r="K21" i="26"/>
  <c r="AJ21" i="26"/>
  <c r="BH21" i="26"/>
  <c r="AD21" i="26"/>
  <c r="AI21" i="26"/>
  <c r="AZ21" i="26"/>
  <c r="AP21" i="26"/>
  <c r="BF21" i="26"/>
  <c r="BN21" i="26"/>
  <c r="H21" i="26"/>
  <c r="T21" i="26"/>
  <c r="AC21" i="26"/>
  <c r="AR21" i="26"/>
  <c r="AQ21" i="26"/>
  <c r="S21" i="26"/>
  <c r="L21" i="26"/>
  <c r="AL21" i="26"/>
  <c r="BP21" i="26"/>
  <c r="I21" i="26"/>
  <c r="BO21" i="26"/>
  <c r="AY21" i="26"/>
  <c r="AN21" i="26"/>
  <c r="BC21" i="26"/>
  <c r="AB21" i="26"/>
  <c r="BM21" i="26"/>
  <c r="BE21" i="26"/>
  <c r="AF21" i="26"/>
  <c r="AK21" i="26"/>
  <c r="O21" i="26"/>
  <c r="J21" i="26"/>
  <c r="BI21" i="26"/>
  <c r="AE21" i="26"/>
  <c r="BR21" i="26"/>
  <c r="N21" i="26"/>
  <c r="AA21" i="26"/>
  <c r="E21" i="26"/>
  <c r="AT21" i="26"/>
  <c r="BB21" i="26"/>
  <c r="R21" i="26"/>
  <c r="BA21" i="26"/>
  <c r="Q21" i="26"/>
  <c r="V21" i="26"/>
  <c r="V21" i="27"/>
  <c r="P21" i="26"/>
  <c r="W21" i="26"/>
  <c r="F21" i="26"/>
  <c r="AW21" i="26"/>
  <c r="AG21" i="26"/>
  <c r="X21" i="26"/>
  <c r="AO21" i="26"/>
  <c r="U21" i="26"/>
  <c r="Y21" i="26"/>
  <c r="AH21" i="26"/>
  <c r="BK21" i="26"/>
  <c r="AV21" i="26"/>
  <c r="AX21" i="26"/>
  <c r="BD21" i="26"/>
  <c r="AU21" i="26"/>
  <c r="AS21" i="26"/>
  <c r="BG21" i="26"/>
  <c r="BQ21" i="26"/>
  <c r="M21" i="26"/>
  <c r="U18" i="11"/>
  <c r="I21" i="27"/>
  <c r="AO21" i="27"/>
  <c r="O10" i="11"/>
  <c r="Z20" i="17" l="1"/>
  <c r="BM20" i="26"/>
  <c r="BL21" i="26"/>
  <c r="X19" i="20"/>
  <c r="AA19" i="21"/>
  <c r="X17" i="20"/>
  <c r="J12" i="12"/>
  <c r="AP20" i="20"/>
  <c r="U17" i="21"/>
  <c r="U19" i="21" s="1"/>
  <c r="AO11" i="17"/>
  <c r="AM18" i="11"/>
  <c r="BH19" i="16"/>
  <c r="X17" i="16"/>
  <c r="S15" i="14"/>
  <c r="V15" i="14" s="1"/>
  <c r="X9" i="16"/>
  <c r="X20" i="16" s="1"/>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BH13" i="26"/>
  <c r="V10" i="11"/>
  <c r="U11" i="17"/>
  <c r="X10" i="16"/>
  <c r="X18" i="16"/>
  <c r="V18" i="20"/>
  <c r="BH17" i="16"/>
  <c r="X19" i="17"/>
  <c r="U12" i="17"/>
  <c r="AP19" i="20"/>
  <c r="X11" i="17"/>
  <c r="X15" i="16"/>
  <c r="X19" i="16" s="1"/>
  <c r="BM17" i="11"/>
  <c r="S18" i="16"/>
  <c r="BH19" i="26"/>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BP21" i="16"/>
  <c r="AX21" i="21"/>
  <c r="AU21" i="17"/>
  <c r="AV21" i="21"/>
  <c r="V19" i="26" l="1"/>
  <c r="X20" i="26"/>
  <c r="X13" i="26"/>
  <c r="BV13" i="26"/>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BV22" i="26"/>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AJ21" i="11"/>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<sst xmlns="http://schemas.openxmlformats.org/spreadsheetml/2006/main" count="2527" uniqueCount="1025">
  <si>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</si>
  <si>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</si>
  <si>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</si>
  <si>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</si>
  <si>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</si>
  <si>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</si>
  <si>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</si>
  <si>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</si>
  <si>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</si>
  <si>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</si>
  <si>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</si>
  <si>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</si>
  <si>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</si>
  <si>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</si>
  <si>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</si>
  <si>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</si>
  <si>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</si>
  <si>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</si>
  <si>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</si>
  <si>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</si>
  <si>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</si>
  <si>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</si>
  <si>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</si>
  <si>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</si>
  <si>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</si>
  <si>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</si>
  <si>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</si>
  <si>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</si>
  <si>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</si>
  <si>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</si>
  <si>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</si>
  <si>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</si>
  <si>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</si>
  <si>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</si>
  <si>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</si>
  <si>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</si>
  <si>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</si>
  <si>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</si>
  <si>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</si>
  <si>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</si>
  <si>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</si>
  <si>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</si>
  <si>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</si>
  <si>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</si>
  <si>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</si>
  <si>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</si>
  <si>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</si>
  <si>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</si>
  <si>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</si>
  <si>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</si>
  <si>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</si>
  <si>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</si>
  <si>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</si>
  <si>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</si>
  <si>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</si>
  <si>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</si>
  <si>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</si>
  <si>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</si>
  <si>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</si>
  <si>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</si>
  <si>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</si>
  <si>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</si>
  <si>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</si>
  <si>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</si>
  <si>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</si>
  <si>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</si>
  <si>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</si>
  <si>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</si>
  <si>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</si>
  <si>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</si>
  <si>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</si>
  <si>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</si>
  <si>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</si>
  <si>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</si>
  <si>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</si>
  <si>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</si>
  <si>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</si>
  <si>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</si>
  <si>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</si>
  <si>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</si>
  <si>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</si>
  <si>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</si>
  <si>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</si>
  <si>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</si>
  <si>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</si>
  <si>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</si>
  <si>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</si>
  <si>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</si>
  <si>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</si>
  <si>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</si>
  <si>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</si>
  <si>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</si>
  <si>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</si>
  <si>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</si>
  <si>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</si>
  <si>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</si>
  <si>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</si>
  <si>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</si>
  <si>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</si>
  <si>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</si>
  <si>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</si>
  <si>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</si>
  <si>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</si>
  <si>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</si>
  <si>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</si>
  <si>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</si>
  <si>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</si>
  <si>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</si>
  <si>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</si>
  <si>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</si>
  <si>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</si>
  <si>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</si>
  <si>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</si>
  <si>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</si>
  <si>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</si>
  <si>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</si>
  <si>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</si>
  <si>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</si>
  <si>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</si>
  <si>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</si>
  <si>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</si>
  <si>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</si>
  <si>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</si>
  <si>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</si>
  <si>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</si>
  <si>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</si>
  <si>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</si>
  <si>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</si>
  <si>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</si>
  <si>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</si>
  <si>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</si>
  <si>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</si>
  <si>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</si>
  <si>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</si>
  <si>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</si>
  <si>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</si>
  <si>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</si>
  <si>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</si>
  <si>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</si>
  <si>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</si>
  <si>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</si>
  <si>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</si>
  <si>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</si>
  <si>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</si>
  <si>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</si>
  <si>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</si>
  <si>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</si>
  <si>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</si>
  <si>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</si>
  <si>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</si>
  <si>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</si>
  <si>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</si>
  <si>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</si>
  <si>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</si>
  <si>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</si>
  <si>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</si>
  <si>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</si>
  <si>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</si>
  <si>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</si>
  <si>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</si>
  <si>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</si>
  <si>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</si>
  <si>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</si>
  <si>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</si>
  <si>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</si>
  <si>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</si>
  <si>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</si>
  <si>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</si>
  <si>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</si>
  <si>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</si>
  <si>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</si>
  <si>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</si>
  <si>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</si>
  <si>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</si>
  <si>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</si>
  <si>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</si>
  <si>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</si>
  <si>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</si>
  <si>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</si>
  <si>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</si>
  <si>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</si>
  <si>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</si>
  <si>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</si>
  <si>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</si>
  <si>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</si>
  <si>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</si>
  <si>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</si>
  <si>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</si>
  <si>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</si>
  <si>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</si>
  <si>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</si>
  <si>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</si>
  <si>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</si>
  <si>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</si>
  <si>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</si>
  <si>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</si>
  <si>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</si>
  <si>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</si>
  <si>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</si>
  <si>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</si>
  <si>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</si>
  <si>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</si>
  <si>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</si>
  <si>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</si>
  <si>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</si>
  <si>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</si>
  <si>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</si>
  <si>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</si>
  <si>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</si>
  <si>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</si>
  <si>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</si>
  <si>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</si>
  <si>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</si>
  <si>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</si>
  <si>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</si>
  <si>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</si>
  <si>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</si>
  <si>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</si>
  <si>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</si>
  <si>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</si>
  <si>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</si>
  <si>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</si>
  <si>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</si>
  <si>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</si>
  <si>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</si>
  <si>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</si>
  <si>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</si>
  <si>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</si>
  <si>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</si>
  <si>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</si>
  <si>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</si>
  <si>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</si>
  <si>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</si>
  <si>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</si>
  <si>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</si>
  <si>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</si>
  <si>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</si>
  <si>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</si>
  <si>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</si>
  <si>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</si>
  <si>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</si>
  <si>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</si>
  <si>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</si>
  <si>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</si>
  <si>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</si>
  <si>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</si>
  <si>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</si>
  <si>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</si>
  <si>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</si>
  <si>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</si>
  <si>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</si>
  <si>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</si>
  <si>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</si>
  <si>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</si>
  <si>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</si>
  <si>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</si>
  <si>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</si>
  <si>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</si>
  <si>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</si>
  <si>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</si>
  <si>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</si>
  <si>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</si>
  <si>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</si>
  <si>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</si>
  <si>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</si>
  <si>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</si>
  <si>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</si>
  <si>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</si>
  <si>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</si>
  <si>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</si>
  <si>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</si>
  <si>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</si>
  <si>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</si>
  <si>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</si>
  <si>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</si>
  <si>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</si>
  <si>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</si>
  <si>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</si>
  <si>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</si>
  <si>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</si>
  <si>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</si>
  <si>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</si>
  <si>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</si>
  <si>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</si>
  <si>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</si>
  <si>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</si>
  <si>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</si>
  <si>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</si>
  <si>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</si>
  <si>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</si>
  <si>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</si>
  <si>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</si>
  <si>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</si>
  <si>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</si>
  <si>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</si>
  <si>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</si>
  <si>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</si>
  <si>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</si>
  <si>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</si>
  <si>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</si>
  <si>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</si>
  <si>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</si>
  <si>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</si>
  <si>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</si>
  <si>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</si>
  <si>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</si>
  <si>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</si>
  <si>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</si>
  <si>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</si>
  <si>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</si>
  <si>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</si>
  <si>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</si>
  <si>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</si>
  <si>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</si>
  <si>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</si>
  <si>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</si>
  <si>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</si>
  <si>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</si>
  <si>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</si>
  <si>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</si>
  <si>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</si>
  <si>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</si>
  <si>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</si>
  <si>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</si>
  <si>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</si>
  <si>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</si>
  <si>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</si>
  <si>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</si>
  <si>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</si>
  <si>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</si>
  <si>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</si>
  <si>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</si>
  <si>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</si>
  <si>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</si>
  <si>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</si>
  <si>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</si>
  <si>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</si>
  <si>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</si>
  <si>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</si>
  <si>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</si>
  <si>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</si>
  <si>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</si>
  <si>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</si>
  <si>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</si>
  <si>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</si>
  <si>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</si>
  <si>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</si>
  <si>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</si>
  <si>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</si>
  <si>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</si>
  <si>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</si>
  <si>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</si>
  <si>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</si>
  <si>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</si>
  <si>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</si>
  <si>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</si>
  <si>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</si>
  <si>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</si>
  <si>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</si>
  <si>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</si>
  <si>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</si>
  <si>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</si>
  <si>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</si>
  <si>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</si>
  <si>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</si>
  <si>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</si>
  <si>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</si>
  <si>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</si>
  <si>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</si>
  <si>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</si>
  <si>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</si>
  <si>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</si>
  <si>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</si>
  <si>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</si>
  <si>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</si>
  <si>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</si>
  <si>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</si>
  <si>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</si>
  <si>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</si>
  <si>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</si>
  <si>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</si>
  <si>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</si>
  <si>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</si>
  <si>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</si>
  <si>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</si>
  <si>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</si>
  <si>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</si>
  <si>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</si>
  <si>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</si>
  <si>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</si>
  <si>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</si>
  <si>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</si>
  <si>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</si>
  <si>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</si>
  <si>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</si>
  <si>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</si>
  <si>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</si>
  <si>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</si>
  <si>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</si>
  <si>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</si>
  <si>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</si>
  <si>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</si>
  <si>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</si>
  <si>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</si>
  <si>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</si>
  <si>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</si>
  <si>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</si>
  <si>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</si>
  <si>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</si>
  <si>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</si>
  <si>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</si>
  <si>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</si>
  <si>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</si>
  <si>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</si>
  <si>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</si>
  <si>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</si>
  <si>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</si>
  <si>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</si>
  <si>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</si>
  <si>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</si>
  <si>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</si>
  <si>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</si>
  <si>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</si>
  <si>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</si>
  <si>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</si>
  <si>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</si>
  <si>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</si>
  <si>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</si>
  <si>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</si>
  <si>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</si>
  <si>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</si>
  <si>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</si>
  <si>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</si>
  <si>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</si>
  <si>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</si>
  <si>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</si>
  <si>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</si>
  <si>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</si>
  <si>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</si>
  <si>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</si>
  <si>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</si>
  <si>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</si>
  <si>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</si>
  <si>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</si>
  <si>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</si>
  <si>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</si>
  <si>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</si>
  <si>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</si>
  <si>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</si>
  <si>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</si>
  <si>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</si>
  <si>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</si>
  <si>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</si>
  <si>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</si>
  <si>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</si>
  <si>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</si>
  <si>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</si>
  <si>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</si>
  <si>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</si>
  <si>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</si>
  <si>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</si>
  <si>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</si>
  <si>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</si>
  <si>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</si>
  <si>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</si>
  <si>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</si>
  <si>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</si>
  <si>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</si>
  <si>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</si>
  <si>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</si>
  <si>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</si>
  <si>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</si>
  <si>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</si>
  <si>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</si>
  <si>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</si>
  <si>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</si>
  <si>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</si>
  <si>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</si>
  <si>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</si>
  <si>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</si>
  <si>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</si>
  <si>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</si>
  <si>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</si>
  <si>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</si>
  <si>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</si>
  <si>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</si>
  <si>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</si>
  <si>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</si>
  <si>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</si>
  <si>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</si>
  <si>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</si>
  <si>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</si>
  <si>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</si>
  <si>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</si>
  <si>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</si>
  <si>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</si>
  <si>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</si>
  <si>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</si>
  <si>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</si>
  <si>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</si>
  <si>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</si>
  <si>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</si>
  <si>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</si>
  <si>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</si>
  <si>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</si>
  <si>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</si>
  <si>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</si>
  <si>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</si>
  <si>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</si>
  <si>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</si>
  <si>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</si>
  <si>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</si>
  <si>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</si>
  <si>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</si>
  <si>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</si>
  <si>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</si>
  <si>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</si>
  <si>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</si>
  <si>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</si>
  <si>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</si>
  <si>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</si>
  <si>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</si>
  <si>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</si>
  <si>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</si>
  <si>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</si>
  <si>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</si>
  <si>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</si>
  <si>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</si>
  <si>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</si>
  <si>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</si>
  <si>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</si>
  <si>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</si>
  <si>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</si>
  <si>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</si>
  <si>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</si>
  <si>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</si>
  <si>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</si>
  <si>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</si>
  <si>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</si>
  <si>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</si>
  <si>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</si>
  <si>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</si>
  <si>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</si>
  <si>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</si>
  <si>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</si>
  <si>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</si>
  <si>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</si>
  <si>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</si>
  <si>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</si>
  <si>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</si>
  <si>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</si>
  <si>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</si>
  <si>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</si>
  <si>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</si>
  <si>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</si>
  <si>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</si>
  <si>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</si>
  <si>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</si>
  <si>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</si>
  <si>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</si>
  <si>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</si>
  <si>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</si>
  <si>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</si>
  <si>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</si>
  <si>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</si>
  <si>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</si>
  <si>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</si>
  <si>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</si>
  <si>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</si>
  <si>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</si>
  <si>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</si>
  <si>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</si>
  <si>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</si>
  <si>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</si>
  <si>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</si>
  <si>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</si>
  <si>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</si>
  <si>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</si>
  <si>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</si>
  <si>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</si>
  <si>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</si>
  <si>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</si>
  <si>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</si>
  <si>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</si>
  <si>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</si>
  <si>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</si>
  <si>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</si>
  <si>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</si>
  <si>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</si>
  <si>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</si>
  <si>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</si>
  <si>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</si>
  <si>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</si>
  <si>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</si>
  <si>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</si>
  <si>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</si>
  <si>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</si>
  <si>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</si>
  <si>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</si>
  <si>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</si>
  <si>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</si>
  <si>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</si>
  <si>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</si>
  <si>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</si>
  <si>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</si>
  <si>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</si>
  <si>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</si>
  <si>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</si>
  <si>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</si>
  <si>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</si>
  <si>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</si>
  <si>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</si>
  <si>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</si>
  <si>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</si>
  <si>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</si>
  <si>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</si>
  <si>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</si>
  <si>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</si>
  <si>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</si>
  <si>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</si>
  <si>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</si>
  <si>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</si>
  <si>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</si>
  <si>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</si>
  <si>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</si>
  <si>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</si>
  <si>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</si>
  <si>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</si>
  <si>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</si>
  <si>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</si>
  <si>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</si>
  <si>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</si>
  <si>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</si>
  <si>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</si>
  <si>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</si>
  <si>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</si>
  <si>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</si>
  <si>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</si>
  <si>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</si>
  <si>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</si>
  <si>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</si>
  <si>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</si>
  <si>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</si>
  <si>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</si>
  <si>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</si>
  <si>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</si>
  <si>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</si>
  <si>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</si>
  <si>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</si>
  <si>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</si>
  <si>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</si>
  <si>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</si>
  <si>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</si>
  <si>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</si>
  <si>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</si>
  <si>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</si>
  <si>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</si>
  <si>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</si>
  <si>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</si>
  <si>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</si>
  <si>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</si>
  <si>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</si>
  <si>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</si>
  <si>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</si>
  <si>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</si>
  <si>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</si>
  <si>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</si>
  <si>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</si>
  <si>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</si>
  <si>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</si>
  <si>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</si>
  <si>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</si>
  <si>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</si>
  <si>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</si>
  <si>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</si>
  <si>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</si>
  <si>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</si>
  <si>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</si>
  <si>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</si>
  <si>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</si>
  <si>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</si>
  <si>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</si>
  <si>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</si>
  <si>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</si>
  <si>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</si>
  <si>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</si>
  <si>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</si>
  <si>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</si>
  <si>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</si>
  <si>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</si>
  <si>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</si>
  <si>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</si>
  <si>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</si>
  <si>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</si>
  <si>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</si>
  <si>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</si>
  <si>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</si>
  <si>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</si>
  <si>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</si>
  <si>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</si>
  <si>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</si>
  <si>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</si>
  <si>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</si>
  <si>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</si>
  <si>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</si>
  <si>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</si>
  <si>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</si>
  <si>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</si>
  <si>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</si>
  <si>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</si>
  <si>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</si>
  <si>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</si>
  <si>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</si>
  <si>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</si>
  <si>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</si>
  <si>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</si>
  <si>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</si>
  <si>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</si>
  <si>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</si>
  <si>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</si>
  <si>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</si>
  <si>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</si>
  <si>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</si>
  <si>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</si>
  <si>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</si>
  <si>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</si>
  <si>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</si>
  <si>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</si>
  <si>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</si>
  <si>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</si>
  <si>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</si>
  <si>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</si>
  <si>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</si>
  <si>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</si>
  <si>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</si>
  <si>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</si>
  <si>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</si>
  <si>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</si>
  <si>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</si>
  <si>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</si>
  <si>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</si>
  <si>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</si>
  <si>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</si>
  <si>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</si>
  <si>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</si>
  <si>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</si>
  <si>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</si>
  <si>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</si>
  <si>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</si>
  <si>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</si>
  <si>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</si>
  <si>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</si>
  <si>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</si>
  <si>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</si>
  <si>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</si>
  <si>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</si>
  <si>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</si>
  <si>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</si>
  <si>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</si>
  <si>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</si>
  <si>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</si>
  <si>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</si>
  <si>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</si>
  <si>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</si>
  <si>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</si>
  <si>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</si>
  <si>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</si>
  <si>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</si>
  <si>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</si>
  <si>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</si>
  <si>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</si>
  <si>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</si>
  <si>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</si>
  <si>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</si>
  <si>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</si>
  <si>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</si>
  <si>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</si>
  <si>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</si>
  <si>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</si>
  <si>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</si>
  <si>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</si>
  <si>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</si>
  <si>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</si>
  <si>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</si>
  <si>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</si>
  <si>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</si>
  <si>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</si>
  <si>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</si>
  <si>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</si>
  <si>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</si>
  <si>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</si>
  <si>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</si>
  <si>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</si>
  <si>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</si>
  <si>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</si>
  <si>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</si>
  <si>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</si>
  <si>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</si>
  <si>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</si>
  <si>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</si>
  <si>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</si>
  <si>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</si>
  <si>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</si>
  <si>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</si>
  <si>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</si>
  <si>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</si>
  <si>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</si>
  <si>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</si>
  <si>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</si>
  <si>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</si>
  <si>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</si>
  <si>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</si>
  <si>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</si>
  <si>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</si>
  <si>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</si>
  <si>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</si>
  <si>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</si>
  <si>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</si>
  <si>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</si>
  <si>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</si>
  <si>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</si>
  <si>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</si>
  <si>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</si>
  <si>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</si>
  <si>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</si>
  <si>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</si>
  <si>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</si>
  <si>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</si>
  <si>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</si>
  <si>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</si>
  <si>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</si>
  <si>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</si>
  <si>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</si>
  <si>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</si>
  <si>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</si>
  <si>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</si>
  <si>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</si>
  <si>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</si>
  <si>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</si>
  <si>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</si>
  <si>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</si>
  <si>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</si>
  <si>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</si>
  <si>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</si>
  <si>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</si>
  <si>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</si>
  <si>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</si>
  <si>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</si>
  <si>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</si>
  <si>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</si>
  <si>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</si>
  <si>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</si>
  <si>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</si>
  <si>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</si>
  <si>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</si>
  <si>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</si>
  <si>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</si>
  <si>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</si>
  <si>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</si>
  <si>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</si>
  <si>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</si>
  <si>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</si>
  <si>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</si>
  <si>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</si>
  <si>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</si>
  <si>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</si>
  <si>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</si>
  <si>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</si>
  <si>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</si>
  <si>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</si>
  <si>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</si>
  <si>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</si>
  <si>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</si>
  <si>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</si>
  <si>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</si>
  <si>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</si>
  <si>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</si>
  <si>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</si>
  <si>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</si>
  <si>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</si>
  <si>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</si>
  <si>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</si>
  <si>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</si>
  <si>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</si>
  <si>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</si>
  <si>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</si>
  <si>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</si>
  <si>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</si>
  <si>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</si>
  <si>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</si>
  <si>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</si>
  <si>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</si>
  <si>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</si>
  <si>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</si>
  <si>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</si>
  <si>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</si>
  <si>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</si>
  <si>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</si>
  <si>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</si>
  <si>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</si>
  <si>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</si>
  <si>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</si>
  <si>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</si>
  <si>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</si>
  <si>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</si>
  <si>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</si>
  <si>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</si>
  <si>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</si>
  <si>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</si>
  <si>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</si>
  <si>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</si>
  <si>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</si>
  <si>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</si>
  <si>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</si>
  <si>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</si>
  <si>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</si>
  <si>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</si>
  <si>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</si>
  <si>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</si>
  <si>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</si>
  <si>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</si>
  <si>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</si>
  <si>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</si>
  <si>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</si>
  <si>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</si>
  <si>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</si>
  <si>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</si>
  <si>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</si>
  <si>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</si>
  <si>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</si>
  <si>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</si>
  <si>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</si>
  <si>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</si>
  <si>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</si>
  <si>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</si>
  <si>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</si>
  <si>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</si>
  <si>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</si>
  <si>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</si>
  <si>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</si>
  <si>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</si>
  <si>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</si>
  <si>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</si>
  <si>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</si>
  <si>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</si>
  <si>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</si>
  <si>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</si>
  <si>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</si>
  <si>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</si>
  <si>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</si>
  <si>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</si>
  <si>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</si>
  <si>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</si>
  <si>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</si>
  <si>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</si>
  <si>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</si>
  <si>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</si>
  <si>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</si>
  <si>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</si>
  <si>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</si>
  <si>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</si>
  <si>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</si>
  <si>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</si>
  <si>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</si>
  <si>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</si>
  <si>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</si>
  <si>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</si>
  <si>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</si>
  <si>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</si>
  <si>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</si>
  <si>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</si>
  <si>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</si>
  <si>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</si>
  <si>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</si>
  <si>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</si>
  <si>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</si>
  <si>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</si>
  <si>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</si>
  <si>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</si>
  <si>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</si>
  <si>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</si>
  <si>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</si>
  <si>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</si>
  <si>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</si>
  <si>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</si>
  <si>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</si>
  <si>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</si>
  <si>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</si>
  <si>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</si>
  <si>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</si>
  <si>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</si>
  <si>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</si>
  <si>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</si>
  <si>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</si>
  <si>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</si>
  <si>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</si>
  <si>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</si>
  <si>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</si>
  <si>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</si>
  <si>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</si>
  <si>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</si>
  <si>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</si>
  <si>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</si>
  <si>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</si>
  <si>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</si>
  <si>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</si>
  <si>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</si>
  <si>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</si>
  <si>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</si>
  <si>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</si>
  <si>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</si>
  <si>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</si>
  <si>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</si>
  <si>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</si>
  <si>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</si>
  <si>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</si>
  <si>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</si>
  <si>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</si>
  <si>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</si>
  <si>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</si>
  <si>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</si>
  <si>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ARAGON</t>
  </si>
  <si>
    <t>Provincias</t>
  </si>
  <si>
    <t>TERUEL</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</si>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</sst>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1023</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5P4jKGotDrukwiVRbb/7QJ49dJJmbtk9CUacEAjyCsfC2fyLinhr8SVcrMLeJw39pYSdDuVqBjjsIJhEk05RtQ==" saltValue="mlK62mctT1QHYdqDMC6qBA=="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ARAGON</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4</v>
      </c>
      <c r="D10" s="224">
        <f>IF(ISNUMBER(Datos!I10),Datos!I10," - ")</f>
        <v>4</v>
      </c>
      <c r="E10" s="225">
        <f>IF(ISNUMBER(Datos!J10),Datos!J10," - ")</f>
        <v>1</v>
      </c>
      <c r="F10" s="225">
        <f>IF(ISNUMBER(Datos!K10),Datos!K10," - ")</f>
        <v>1</v>
      </c>
      <c r="G10" s="1029" t="str">
        <f>IF(Datos!E10&lt;&gt;"",Datos!E10,Datos!D10)</f>
        <v>37</v>
      </c>
      <c r="H10" s="226">
        <f>IF(ISNUMBER(Datos!L10),Datos!L10," - ")</f>
        <v>4</v>
      </c>
      <c r="I10" s="1039" t="str">
        <f>IF(ISNUMBER(Datos!AS10/Datos!BM10),Datos!AS10/Datos!BM10," - ")</f>
        <v xml:space="preserve"> - </v>
      </c>
      <c r="J10" s="1040">
        <f>IF(ISNUMBER(Datos!BY10/Datos!CN10),Datos!BY10/Datos!CN10," - ")</f>
        <v>0</v>
      </c>
      <c r="K10" s="229">
        <f t="shared" ref="K10:K12" si="1">IF(ISNUMBER((E10-F10)/C10),(E10-F10)/C10," - ")</f>
        <v>0</v>
      </c>
      <c r="L10" s="1020">
        <f>IF(ISNUMBER(NºAsuntos!I10/NºAsuntos!G10),(NºAsuntos!I10/NºAsuntos!G10)*11," - ")</f>
        <v>44</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3</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22.753703703703703</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4</v>
      </c>
      <c r="D13" s="1044">
        <f>SUBTOTAL(9,D9:D12)</f>
        <v>4</v>
      </c>
      <c r="E13" s="1045">
        <f>SUBTOTAL(9,E9:E12)</f>
        <v>1</v>
      </c>
      <c r="F13" s="1046">
        <f>SUBTOTAL(9,F9:F12)</f>
        <v>1</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3</v>
      </c>
      <c r="B17" s="501" t="str">
        <f>Datos!A17</f>
        <v xml:space="preserve">Sección Civil y de Inst. TI                      </v>
      </c>
      <c r="C17" s="224">
        <f t="shared" si="2"/>
        <v>297</v>
      </c>
      <c r="D17" s="224">
        <f>IF(ISNUMBER(IF(D_I="SI",Datos!I17,Datos!I17+Datos!AC17)),IF(D_I="SI",Datos!I17,Datos!I17+Datos!AC17)," - ")</f>
        <v>279</v>
      </c>
      <c r="E17" s="225">
        <f>IF(ISNUMBER(IF(D_I="SI",Datos!J17,Datos!J17+Datos!AD17)),IF(D_I="SI",Datos!J17,Datos!J17+Datos!AD17)," - ")</f>
        <v>805</v>
      </c>
      <c r="F17" s="225">
        <f>IF(ISNUMBER(IF(D_I="SI",Datos!K17,Datos!K17+Datos!AE17)),IF(D_I="SI",Datos!K17,Datos!K17+Datos!AE17)," - ")</f>
        <v>637</v>
      </c>
      <c r="G17" s="1029" t="str">
        <f>IF(Datos!E17&lt;&gt;"",Datos!E17,Datos!D17)</f>
        <v>04</v>
      </c>
      <c r="H17" s="226">
        <f>IF(ISNUMBER(IF(D_I="SI",Datos!L17,Datos!L17+Datos!AF17)),IF(D_I="SI",Datos!L17,Datos!L17+Datos!AF17)," - ")</f>
        <v>465</v>
      </c>
      <c r="I17" s="1039" t="str">
        <f>IF(ISNUMBER(Datos!AS17/Datos!BM17),Datos!AS17/Datos!BM17," - ")</f>
        <v xml:space="preserve"> - </v>
      </c>
      <c r="J17" s="1040">
        <f>IF(ISNUMBER(Datos!BY17/Datos!CN17),Datos!BY17/Datos!CN17," - ")</f>
        <v>0</v>
      </c>
      <c r="K17" s="229">
        <f t="shared" si="3"/>
        <v>0.56565656565656564</v>
      </c>
      <c r="L17" s="1020">
        <f>IF(ISNUMBER(NºAsuntos!I17/NºAsuntos!G17),(NºAsuntos!I17/NºAsuntos!G17)*11," - ")</f>
        <v>8.0298273155416009</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10</v>
      </c>
      <c r="D18" s="224">
        <f>IF(ISNUMBER(IF(D_I="SI",Datos!I18,Datos!I18+Datos!AC18)),IF(D_I="SI",Datos!I18,Datos!I18+Datos!AC18)," - ")</f>
        <v>6</v>
      </c>
      <c r="E18" s="225">
        <f>IF(ISNUMBER(IF(D_I="SI",Datos!J18,Datos!J18+Datos!AD18)),IF(D_I="SI",Datos!J18,Datos!J18+Datos!AD18)," - ")</f>
        <v>38</v>
      </c>
      <c r="F18" s="225">
        <f>IF(ISNUMBER(IF(D_I="SI",Datos!K18,Datos!K18+Datos!AE18)),IF(D_I="SI",Datos!K18,Datos!K18+Datos!AE18)," - ")</f>
        <v>43</v>
      </c>
      <c r="G18" s="1029" t="str">
        <f>IF(Datos!E18&lt;&gt;"",Datos!E18,Datos!D18)</f>
        <v>37</v>
      </c>
      <c r="H18" s="226">
        <f>IF(ISNUMBER(IF(D_I="SI",Datos!L18,Datos!L18+Datos!AF18)),IF(D_I="SI",Datos!L18,Datos!L18+Datos!AF18)," - ")</f>
        <v>5</v>
      </c>
      <c r="I18" s="1039" t="str">
        <f>IF(ISNUMBER(Datos!AS18/Datos!BM18),Datos!AS18/Datos!BM18," - ")</f>
        <v xml:space="preserve"> - </v>
      </c>
      <c r="J18" s="1040" t="str">
        <f>IF(ISNUMBER((Datos!BY18+Datos!BZ18)/Datos!CN18),(Datos!BY18+Datos!BZ18)/Datos!CN18," - ")</f>
        <v xml:space="preserve"> - </v>
      </c>
      <c r="K18" s="229">
        <f t="shared" si="3"/>
        <v>-0.5</v>
      </c>
      <c r="L18" s="1020">
        <f>IF(ISNUMBER(NºAsuntos!I18/NºAsuntos!G18),(NºAsuntos!I18/NºAsuntos!G18)*11," - ")</f>
        <v>1.2790697674418605</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307</v>
      </c>
      <c r="D19" s="1044">
        <f>SUBTOTAL(9,D15:D18)</f>
        <v>285</v>
      </c>
      <c r="E19" s="1045">
        <f>SUBTOTAL(9,E15:E18)</f>
        <v>843</v>
      </c>
      <c r="F19" s="1045">
        <f>SUBTOTAL(9,F15:F18)</f>
        <v>680</v>
      </c>
      <c r="G19" s="1047" t="str">
        <f ca="1">INDIRECT(CONCATENATE("G",ROW()-1))</f>
        <v>37</v>
      </c>
      <c r="H19" s="1048">
        <f ca="1">SUMIF(G$14:G18,G19,H$14:H18)</f>
        <v>5</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311</v>
      </c>
      <c r="D20" s="1066">
        <f>SUBTOTAL(9,D9:D19)</f>
        <v>289</v>
      </c>
      <c r="E20" s="1067">
        <f>SUBTOTAL(9,E9:E19)</f>
        <v>844</v>
      </c>
      <c r="F20" s="1067">
        <f>SUBTOTAL(9,F9:F19)</f>
        <v>681</v>
      </c>
      <c r="G20" s="1068"/>
      <c r="H20" s="1069">
        <f ca="1">SUMIF(B9:B19,"TOTAL",H9:H19)</f>
        <v>5</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o/UEUFp9hHlqvDpPC0e6sxT14gA45bQO+Vdxi+WIDzqxaZLKL02TBdNQE4wU+LVehxwF7KLRGca9vGIFjdrlhg==" saltValue="QWblsRu+CP3zPCcwn4ZW4Q=="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tVcaE3/gzShPMtwxUKnaGof8ko2L/kpUmxv+GYCLr95HWTAYkqKrzmulz151aPsuvb9NB+ze7F3nEk4DyObmqg==" saltValue="w26f6hNRo/Cc7jTgTNAn7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TERUEL</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4</v>
      </c>
      <c r="J10" s="180">
        <v>1</v>
      </c>
      <c r="K10" s="180">
        <v>1</v>
      </c>
      <c r="L10" s="180">
        <v>4</v>
      </c>
      <c r="M10" s="180">
        <v>1</v>
      </c>
      <c r="N10" s="180">
        <v>0</v>
      </c>
      <c r="O10" s="180">
        <v>0</v>
      </c>
      <c r="P10" s="180">
        <v>0</v>
      </c>
      <c r="Q10" s="180">
        <v>0</v>
      </c>
      <c r="R10" s="180">
        <v>3</v>
      </c>
      <c r="S10" s="180">
        <v>5</v>
      </c>
      <c r="T10" s="180">
        <v>2</v>
      </c>
      <c r="U10" s="180">
        <v>1</v>
      </c>
      <c r="V10" s="180">
        <v>6</v>
      </c>
      <c r="W10" s="180">
        <v>1</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5</v>
      </c>
      <c r="AZ10" s="129">
        <f t="shared" si="0"/>
        <v>2</v>
      </c>
      <c r="BA10" s="129">
        <f t="shared" si="0"/>
        <v>1</v>
      </c>
      <c r="BB10" s="129">
        <f t="shared" si="0"/>
        <v>6</v>
      </c>
      <c r="BC10" s="125">
        <f t="shared" si="0"/>
        <v>1</v>
      </c>
      <c r="BD10" s="126">
        <f>IF(ISNUMBER(BA10/AZ10),BA10/AZ10," - ")</f>
        <v>0.5</v>
      </c>
      <c r="BE10" s="127">
        <f>IF(ISNUMBER(BB10/BA10),BB10/BA10, " - ")</f>
        <v>6</v>
      </c>
      <c r="BF10" s="127">
        <f>IF(ISNUMBER(BC10/BA10),BC10/BA10, " - ")</f>
        <v>1</v>
      </c>
      <c r="BG10" s="195">
        <f>IF(ISNUMBER((AY10+AZ10)/BA10),(AY10+AZ10)/BA10," - ")</f>
        <v>7</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787</v>
      </c>
      <c r="J12" s="182">
        <v>669</v>
      </c>
      <c r="K12" s="182">
        <v>485</v>
      </c>
      <c r="L12" s="182">
        <v>971</v>
      </c>
      <c r="M12" s="182">
        <v>156</v>
      </c>
      <c r="N12" s="182">
        <v>173</v>
      </c>
      <c r="O12" s="180">
        <v>230</v>
      </c>
      <c r="P12" s="182">
        <v>150</v>
      </c>
      <c r="Q12" s="182">
        <v>38</v>
      </c>
      <c r="R12" s="182">
        <v>1684</v>
      </c>
      <c r="S12" s="182">
        <v>1063</v>
      </c>
      <c r="T12" s="182">
        <v>988</v>
      </c>
      <c r="U12" s="182">
        <v>678</v>
      </c>
      <c r="V12" s="182">
        <v>1373</v>
      </c>
      <c r="W12" s="182">
        <v>228</v>
      </c>
      <c r="X12" s="188">
        <v>290</v>
      </c>
      <c r="Y12" s="190">
        <v>144</v>
      </c>
      <c r="Z12" s="180">
        <v>57</v>
      </c>
      <c r="AA12" s="180">
        <v>55</v>
      </c>
      <c r="AB12" s="180">
        <v>146</v>
      </c>
      <c r="AC12" s="182">
        <v>0</v>
      </c>
      <c r="AD12" s="182">
        <v>0</v>
      </c>
      <c r="AE12" s="182">
        <v>0</v>
      </c>
      <c r="AF12" s="188">
        <v>0</v>
      </c>
      <c r="AG12" s="201">
        <v>26</v>
      </c>
      <c r="AH12" s="182">
        <v>42</v>
      </c>
      <c r="AI12" s="182">
        <v>44</v>
      </c>
      <c r="AJ12" s="202">
        <v>24</v>
      </c>
      <c r="AK12" s="181">
        <v>0</v>
      </c>
      <c r="AL12" s="182">
        <v>0</v>
      </c>
      <c r="AM12" s="182">
        <v>0</v>
      </c>
      <c r="AN12" s="188">
        <v>0</v>
      </c>
      <c r="AO12" s="258">
        <v>3</v>
      </c>
      <c r="AP12" s="154">
        <v>3</v>
      </c>
      <c r="AQ12" s="154">
        <v>3</v>
      </c>
      <c r="AR12" s="153">
        <v>3</v>
      </c>
      <c r="AS12" s="339" t="s">
        <v>766</v>
      </c>
      <c r="AT12" s="202"/>
      <c r="AU12" s="201"/>
      <c r="AV12" s="202"/>
      <c r="AW12" s="201"/>
      <c r="AX12" s="202"/>
      <c r="AY12" s="126">
        <f t="shared" si="1"/>
        <v>1089</v>
      </c>
      <c r="AZ12" s="127">
        <f t="shared" si="1"/>
        <v>1030</v>
      </c>
      <c r="BA12" s="127">
        <f t="shared" si="1"/>
        <v>722</v>
      </c>
      <c r="BB12" s="127">
        <f t="shared" si="1"/>
        <v>1397</v>
      </c>
      <c r="BC12" s="125">
        <f>IF(ISNUMBER(X12),X12," - ")</f>
        <v>290</v>
      </c>
      <c r="BD12" s="126">
        <f t="shared" si="2"/>
        <v>0.70097087378640777</v>
      </c>
      <c r="BE12" s="127">
        <f t="shared" si="3"/>
        <v>1.9349030470914128</v>
      </c>
      <c r="BF12" s="127">
        <f t="shared" si="4"/>
        <v>0.40166204986149584</v>
      </c>
      <c r="BG12" s="195">
        <f t="shared" si="5"/>
        <v>2.9349030470914128</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791</v>
      </c>
      <c r="J13" s="183">
        <f t="shared" si="6"/>
        <v>670</v>
      </c>
      <c r="K13" s="183">
        <f t="shared" si="6"/>
        <v>486</v>
      </c>
      <c r="L13" s="183">
        <f t="shared" si="6"/>
        <v>975</v>
      </c>
      <c r="M13" s="183">
        <f t="shared" si="6"/>
        <v>157</v>
      </c>
      <c r="N13" s="183">
        <f t="shared" si="6"/>
        <v>173</v>
      </c>
      <c r="O13" s="183">
        <f t="shared" si="6"/>
        <v>230</v>
      </c>
      <c r="P13" s="183">
        <f t="shared" si="6"/>
        <v>150</v>
      </c>
      <c r="Q13" s="183">
        <f t="shared" si="6"/>
        <v>38</v>
      </c>
      <c r="R13" s="183">
        <f t="shared" si="6"/>
        <v>1687</v>
      </c>
      <c r="S13" s="183">
        <f t="shared" si="6"/>
        <v>1068</v>
      </c>
      <c r="T13" s="183">
        <f t="shared" si="6"/>
        <v>990</v>
      </c>
      <c r="U13" s="183">
        <f t="shared" si="6"/>
        <v>679</v>
      </c>
      <c r="V13" s="183">
        <f t="shared" si="6"/>
        <v>1379</v>
      </c>
      <c r="W13" s="183">
        <f t="shared" si="6"/>
        <v>229</v>
      </c>
      <c r="X13" s="183">
        <f t="shared" si="6"/>
        <v>290</v>
      </c>
      <c r="Y13" s="183">
        <f t="shared" si="6"/>
        <v>144</v>
      </c>
      <c r="Z13" s="183">
        <f t="shared" si="6"/>
        <v>57</v>
      </c>
      <c r="AA13" s="183">
        <f t="shared" si="6"/>
        <v>55</v>
      </c>
      <c r="AB13" s="183">
        <f t="shared" si="6"/>
        <v>146</v>
      </c>
      <c r="AC13" s="183">
        <f t="shared" si="6"/>
        <v>0</v>
      </c>
      <c r="AD13" s="183">
        <f t="shared" si="6"/>
        <v>0</v>
      </c>
      <c r="AE13" s="183">
        <f t="shared" si="6"/>
        <v>0</v>
      </c>
      <c r="AF13" s="183">
        <f>SUBTOTAL(9,AF9:AF12)</f>
        <v>0</v>
      </c>
      <c r="AG13" s="183">
        <f t="shared" ref="AG13:AT13" si="7">SUBTOTAL(9,AG8:AG12)</f>
        <v>26</v>
      </c>
      <c r="AH13" s="183">
        <f t="shared" si="7"/>
        <v>42</v>
      </c>
      <c r="AI13" s="183">
        <f t="shared" si="7"/>
        <v>44</v>
      </c>
      <c r="AJ13" s="183">
        <f t="shared" si="7"/>
        <v>24</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1094</v>
      </c>
      <c r="AZ13" s="183">
        <f>SUBTOTAL(9,AZ8:AZ12)</f>
        <v>1032</v>
      </c>
      <c r="BA13" s="183">
        <f>SUBTOTAL(9,BA8:BA12)</f>
        <v>723</v>
      </c>
      <c r="BB13" s="183">
        <f>SUBTOTAL(9,BB8:BB12)</f>
        <v>1403</v>
      </c>
      <c r="BC13" s="183">
        <f>SUBTOTAL(9,BC8:BC12)</f>
        <v>291</v>
      </c>
      <c r="BD13" s="204">
        <f>IF(ISNUMBER(BA13/AZ13),BA13/AZ13," - ")</f>
        <v>0.70058139534883723</v>
      </c>
      <c r="BE13" s="205">
        <f>IF(ISNUMBER(BB13/BA13),BB13/BA13, " - ")</f>
        <v>1.9405255878284924</v>
      </c>
      <c r="BF13" s="205">
        <f>IF(ISNUMBER(BC13/BA13),BC13/BA13, " - ")</f>
        <v>0.40248962655601661</v>
      </c>
      <c r="BG13" s="206">
        <f>IF(ISNUMBER((AY13+AZ13)/BA13),(AY13+AZ13)/BA13," - ")</f>
        <v>2.9405255878284926</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279</v>
      </c>
      <c r="J17" s="182">
        <v>805</v>
      </c>
      <c r="K17" s="182">
        <v>637</v>
      </c>
      <c r="L17" s="182">
        <v>465</v>
      </c>
      <c r="M17" s="182">
        <v>74</v>
      </c>
      <c r="N17" s="182">
        <v>448</v>
      </c>
      <c r="O17" s="180">
        <v>5</v>
      </c>
      <c r="P17" s="182">
        <v>8</v>
      </c>
      <c r="Q17" s="182">
        <v>13</v>
      </c>
      <c r="R17" s="182">
        <v>67</v>
      </c>
      <c r="S17" s="182">
        <v>318</v>
      </c>
      <c r="T17" s="182">
        <v>764</v>
      </c>
      <c r="U17" s="182">
        <v>738</v>
      </c>
      <c r="V17" s="182">
        <v>357</v>
      </c>
      <c r="W17" s="182">
        <v>67</v>
      </c>
      <c r="X17" s="188">
        <v>544</v>
      </c>
      <c r="Y17" s="201">
        <v>0</v>
      </c>
      <c r="Z17" s="182">
        <v>0</v>
      </c>
      <c r="AA17" s="182">
        <v>0</v>
      </c>
      <c r="AB17" s="182">
        <v>0</v>
      </c>
      <c r="AC17" s="182">
        <v>0</v>
      </c>
      <c r="AD17" s="182">
        <v>4</v>
      </c>
      <c r="AE17" s="182">
        <v>4</v>
      </c>
      <c r="AF17" s="188">
        <v>0</v>
      </c>
      <c r="AG17" s="201">
        <v>0</v>
      </c>
      <c r="AH17" s="182">
        <v>0</v>
      </c>
      <c r="AI17" s="182">
        <v>0</v>
      </c>
      <c r="AJ17" s="202">
        <v>0</v>
      </c>
      <c r="AK17" s="181">
        <v>0</v>
      </c>
      <c r="AL17" s="182">
        <v>6</v>
      </c>
      <c r="AM17" s="182">
        <v>6</v>
      </c>
      <c r="AN17" s="188">
        <v>0</v>
      </c>
      <c r="AO17" s="258">
        <v>3</v>
      </c>
      <c r="AP17" s="154">
        <v>3</v>
      </c>
      <c r="AQ17" s="154">
        <v>3</v>
      </c>
      <c r="AR17" s="154">
        <v>3</v>
      </c>
      <c r="AS17" s="339" t="s">
        <v>486</v>
      </c>
      <c r="AT17" s="202"/>
      <c r="AU17" s="201"/>
      <c r="AV17" s="202"/>
      <c r="AW17" s="201"/>
      <c r="AX17" s="202"/>
      <c r="AY17" s="126">
        <f t="shared" si="9"/>
        <v>318</v>
      </c>
      <c r="AZ17" s="127">
        <f t="shared" si="9"/>
        <v>764</v>
      </c>
      <c r="BA17" s="127">
        <f t="shared" si="9"/>
        <v>738</v>
      </c>
      <c r="BB17" s="127">
        <f t="shared" si="9"/>
        <v>357</v>
      </c>
      <c r="BC17" s="125">
        <f>IF(ISNUMBER(W17),W17," - ")</f>
        <v>67</v>
      </c>
      <c r="BD17" s="126">
        <f t="shared" ref="BD17" si="16">IF(ISNUMBER(BA17/AZ17),BA17/AZ17," - ")</f>
        <v>0.96596858638743455</v>
      </c>
      <c r="BE17" s="127">
        <f t="shared" ref="BE17" si="17">IF(ISNUMBER(BB17/BA17),BB17/BA17, " - ")</f>
        <v>0.48373983739837401</v>
      </c>
      <c r="BF17" s="127">
        <f t="shared" ref="BF17" si="18">IF(ISNUMBER(BC17/BA17),BC17/BA17, " - ")</f>
        <v>9.0785907859078585E-2</v>
      </c>
      <c r="BG17" s="195">
        <f t="shared" si="10"/>
        <v>1.4661246612466126</v>
      </c>
      <c r="BH17" s="154">
        <v>3</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6</v>
      </c>
      <c r="J18" s="182">
        <v>38</v>
      </c>
      <c r="K18" s="182">
        <v>43</v>
      </c>
      <c r="L18" s="182">
        <v>5</v>
      </c>
      <c r="M18" s="182">
        <v>25</v>
      </c>
      <c r="N18" s="182">
        <v>16</v>
      </c>
      <c r="O18" s="182">
        <v>0</v>
      </c>
      <c r="P18" s="182">
        <v>0</v>
      </c>
      <c r="Q18" s="182">
        <v>0</v>
      </c>
      <c r="R18" s="182">
        <v>5</v>
      </c>
      <c r="S18" s="182">
        <v>6</v>
      </c>
      <c r="T18" s="182">
        <v>33</v>
      </c>
      <c r="U18" s="182">
        <v>35</v>
      </c>
      <c r="V18" s="182">
        <v>4</v>
      </c>
      <c r="W18" s="182">
        <v>12</v>
      </c>
      <c r="X18" s="188">
        <v>18</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6</v>
      </c>
      <c r="AZ18" s="129">
        <f t="shared" si="19"/>
        <v>33</v>
      </c>
      <c r="BA18" s="129">
        <f t="shared" si="19"/>
        <v>35</v>
      </c>
      <c r="BB18" s="129">
        <f t="shared" si="19"/>
        <v>4</v>
      </c>
      <c r="BC18" s="125">
        <f>IF(ISNUMBER(W18),W18," - ")</f>
        <v>12</v>
      </c>
      <c r="BD18" s="126">
        <f>IF(ISNUMBER(BA18/AZ18),BA18/AZ18," - ")</f>
        <v>1.0606060606060606</v>
      </c>
      <c r="BE18" s="127">
        <f>IF(ISNUMBER(BB18/BA18),BB18/BA18, " - ")</f>
        <v>0.11428571428571428</v>
      </c>
      <c r="BF18" s="127">
        <f>IF(ISNUMBER(BC18/BA18),BC18/BA18, " - ")</f>
        <v>0.34285714285714286</v>
      </c>
      <c r="BG18" s="195">
        <f>IF(ISNUMBER((AY18+AZ18)/BA18),(AY18+AZ18)/BA18," - ")</f>
        <v>1.1142857142857143</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285</v>
      </c>
      <c r="J19" s="183">
        <f t="shared" si="20"/>
        <v>843</v>
      </c>
      <c r="K19" s="183">
        <f t="shared" si="20"/>
        <v>680</v>
      </c>
      <c r="L19" s="183">
        <f t="shared" si="20"/>
        <v>470</v>
      </c>
      <c r="M19" s="183">
        <f t="shared" si="20"/>
        <v>99</v>
      </c>
      <c r="N19" s="183">
        <f t="shared" si="20"/>
        <v>464</v>
      </c>
      <c r="O19" s="183">
        <f t="shared" si="20"/>
        <v>5</v>
      </c>
      <c r="P19" s="183">
        <f t="shared" si="20"/>
        <v>8</v>
      </c>
      <c r="Q19" s="183">
        <f t="shared" si="20"/>
        <v>13</v>
      </c>
      <c r="R19" s="183">
        <f t="shared" si="20"/>
        <v>72</v>
      </c>
      <c r="S19" s="183">
        <f t="shared" si="20"/>
        <v>324</v>
      </c>
      <c r="T19" s="183">
        <f t="shared" si="20"/>
        <v>797</v>
      </c>
      <c r="U19" s="183">
        <f t="shared" si="20"/>
        <v>773</v>
      </c>
      <c r="V19" s="183">
        <f t="shared" si="20"/>
        <v>361</v>
      </c>
      <c r="W19" s="183">
        <f t="shared" si="20"/>
        <v>79</v>
      </c>
      <c r="X19" s="183">
        <f t="shared" si="20"/>
        <v>562</v>
      </c>
      <c r="Y19" s="183">
        <f t="shared" si="20"/>
        <v>0</v>
      </c>
      <c r="Z19" s="183">
        <f t="shared" si="20"/>
        <v>0</v>
      </c>
      <c r="AA19" s="183">
        <f t="shared" si="20"/>
        <v>0</v>
      </c>
      <c r="AB19" s="183">
        <f t="shared" si="20"/>
        <v>0</v>
      </c>
      <c r="AC19" s="183">
        <f t="shared" si="20"/>
        <v>0</v>
      </c>
      <c r="AD19" s="183">
        <f t="shared" si="20"/>
        <v>4</v>
      </c>
      <c r="AE19" s="183">
        <f t="shared" si="20"/>
        <v>4</v>
      </c>
      <c r="AF19" s="183">
        <f t="shared" si="20"/>
        <v>0</v>
      </c>
      <c r="AG19" s="183">
        <f t="shared" si="20"/>
        <v>0</v>
      </c>
      <c r="AH19" s="183">
        <f t="shared" si="20"/>
        <v>0</v>
      </c>
      <c r="AI19" s="183">
        <f t="shared" si="20"/>
        <v>0</v>
      </c>
      <c r="AJ19" s="183">
        <f t="shared" si="20"/>
        <v>0</v>
      </c>
      <c r="AK19" s="183">
        <f t="shared" si="20"/>
        <v>0</v>
      </c>
      <c r="AL19" s="183">
        <f t="shared" si="20"/>
        <v>6</v>
      </c>
      <c r="AM19" s="183">
        <f t="shared" si="20"/>
        <v>6</v>
      </c>
      <c r="AN19" s="183">
        <f t="shared" si="20"/>
        <v>0</v>
      </c>
      <c r="AO19" s="183">
        <f t="shared" si="20"/>
        <v>4</v>
      </c>
      <c r="AP19" s="183">
        <f t="shared" si="20"/>
        <v>3</v>
      </c>
      <c r="AQ19" s="183">
        <f t="shared" si="20"/>
        <v>3</v>
      </c>
      <c r="AR19" s="183">
        <f t="shared" si="20"/>
        <v>3</v>
      </c>
      <c r="AS19" s="183">
        <f t="shared" si="20"/>
        <v>0</v>
      </c>
      <c r="AT19" s="183">
        <f t="shared" si="20"/>
        <v>0</v>
      </c>
      <c r="AU19" s="203"/>
      <c r="AV19" s="132"/>
      <c r="AW19" s="203"/>
      <c r="AX19" s="132"/>
      <c r="AY19" s="183">
        <f>SUBTOTAL(9,AY14:AY18)</f>
        <v>324</v>
      </c>
      <c r="AZ19" s="183">
        <f>SUBTOTAL(9,AZ14:AZ18)</f>
        <v>797</v>
      </c>
      <c r="BA19" s="183">
        <f>SUBTOTAL(9,BA14:BA18)</f>
        <v>773</v>
      </c>
      <c r="BB19" s="183">
        <f>SUBTOTAL(9,BB14:BB18)</f>
        <v>361</v>
      </c>
      <c r="BC19" s="183">
        <f>SUBTOTAL(9,BC14:BC18)</f>
        <v>79</v>
      </c>
      <c r="BD19" s="204">
        <f>IF(ISNUMBER(BA19/AZ19),BA19/AZ19," - ")</f>
        <v>0.96988707653701378</v>
      </c>
      <c r="BE19" s="205">
        <f>IF(ISNUMBER(BB19/BA19),BB19/BA19, " - ")</f>
        <v>0.46701164294954722</v>
      </c>
      <c r="BF19" s="205">
        <f>IF(ISNUMBER(BC19/BA19),BC19/BA19, " - ")</f>
        <v>0.10219922380336352</v>
      </c>
      <c r="BG19" s="206">
        <f>IF(ISNUMBER((AY19+AZ19)/BA19),(AY19+AZ19)/BA19," - ")</f>
        <v>1.4501940491591203</v>
      </c>
      <c r="BH19" s="183">
        <f>SUBTOTAL(9,BH14:BH18)</f>
        <v>4</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1076</v>
      </c>
      <c r="J20" s="134">
        <f t="shared" si="23"/>
        <v>1513</v>
      </c>
      <c r="K20" s="134">
        <f t="shared" si="23"/>
        <v>1166</v>
      </c>
      <c r="L20" s="134">
        <f t="shared" si="23"/>
        <v>1445</v>
      </c>
      <c r="M20" s="134">
        <f t="shared" si="23"/>
        <v>256</v>
      </c>
      <c r="N20" s="134">
        <f t="shared" si="23"/>
        <v>637</v>
      </c>
      <c r="O20" s="134">
        <f t="shared" si="23"/>
        <v>235</v>
      </c>
      <c r="P20" s="134">
        <f t="shared" si="23"/>
        <v>158</v>
      </c>
      <c r="Q20" s="134">
        <f t="shared" si="23"/>
        <v>51</v>
      </c>
      <c r="R20" s="134">
        <f t="shared" si="23"/>
        <v>1759</v>
      </c>
      <c r="S20" s="134">
        <f t="shared" si="23"/>
        <v>1392</v>
      </c>
      <c r="T20" s="134">
        <f t="shared" si="23"/>
        <v>1787</v>
      </c>
      <c r="U20" s="134">
        <f t="shared" si="23"/>
        <v>1452</v>
      </c>
      <c r="V20" s="134">
        <f t="shared" si="23"/>
        <v>1740</v>
      </c>
      <c r="W20" s="134">
        <f t="shared" si="23"/>
        <v>308</v>
      </c>
      <c r="X20" s="134">
        <f t="shared" si="23"/>
        <v>852</v>
      </c>
      <c r="Y20" s="134">
        <f t="shared" si="23"/>
        <v>144</v>
      </c>
      <c r="Z20" s="134">
        <f t="shared" si="23"/>
        <v>57</v>
      </c>
      <c r="AA20" s="134">
        <f t="shared" si="23"/>
        <v>55</v>
      </c>
      <c r="AB20" s="134">
        <f t="shared" si="23"/>
        <v>146</v>
      </c>
      <c r="AC20" s="134">
        <f t="shared" si="23"/>
        <v>0</v>
      </c>
      <c r="AD20" s="134">
        <f t="shared" si="23"/>
        <v>4</v>
      </c>
      <c r="AE20" s="134">
        <f t="shared" si="23"/>
        <v>4</v>
      </c>
      <c r="AF20" s="134">
        <f t="shared" si="23"/>
        <v>0</v>
      </c>
      <c r="AG20" s="134">
        <f t="shared" si="23"/>
        <v>26</v>
      </c>
      <c r="AH20" s="134">
        <f t="shared" si="23"/>
        <v>42</v>
      </c>
      <c r="AI20" s="134">
        <f t="shared" si="23"/>
        <v>44</v>
      </c>
      <c r="AJ20" s="134">
        <f t="shared" si="23"/>
        <v>24</v>
      </c>
      <c r="AK20" s="134">
        <f t="shared" si="23"/>
        <v>0</v>
      </c>
      <c r="AL20" s="134">
        <f t="shared" si="23"/>
        <v>6</v>
      </c>
      <c r="AM20" s="134">
        <f t="shared" si="23"/>
        <v>6</v>
      </c>
      <c r="AN20" s="209">
        <f t="shared" si="23"/>
        <v>0</v>
      </c>
      <c r="AO20" s="210">
        <v>4</v>
      </c>
      <c r="AP20" s="210">
        <v>3</v>
      </c>
      <c r="AQ20" s="210">
        <v>3</v>
      </c>
      <c r="AR20" s="210">
        <v>3</v>
      </c>
      <c r="AS20" s="152">
        <f t="shared" si="23"/>
        <v>0</v>
      </c>
      <c r="AT20" s="152">
        <f t="shared" si="23"/>
        <v>0</v>
      </c>
      <c r="AU20" s="210"/>
      <c r="AV20" s="211"/>
      <c r="AW20" s="210"/>
      <c r="AX20" s="211"/>
      <c r="AY20" s="133">
        <f>SUBTOTAL(9,AY9:AY19)</f>
        <v>1418</v>
      </c>
      <c r="AZ20" s="134">
        <f>SUBTOTAL(9,AZ9:AZ19)</f>
        <v>1829</v>
      </c>
      <c r="BA20" s="134">
        <f>SUBTOTAL(9,BA9:BA19)</f>
        <v>1496</v>
      </c>
      <c r="BB20" s="134">
        <f>SUBTOTAL(9,BB9:BB19)</f>
        <v>1764</v>
      </c>
      <c r="BC20" s="135">
        <f>SUBTOTAL(9,BC9:BC19)</f>
        <v>370</v>
      </c>
      <c r="BD20" s="212">
        <f>IF(ISNUMBER(BA20/AZ20),BA20/AZ20," - ")</f>
        <v>0.81793329688354288</v>
      </c>
      <c r="BE20" s="209">
        <f>IF(ISNUMBER(BB20/BA20),BB20/BA20, " - ")</f>
        <v>1.179144385026738</v>
      </c>
      <c r="BF20" s="209">
        <f>IF(ISNUMBER(BC20/BA20),BC20/BA20, " - ")</f>
        <v>0.24732620320855614</v>
      </c>
      <c r="BG20" s="135">
        <f>IF(ISNUMBER((AY20+AZ20)/BA20),(AY20+AZ20)/BA20," - ")</f>
        <v>2.1704545454545454</v>
      </c>
      <c r="BH20" s="210">
        <f>SUBTOTAL(9,BH9:BH19)</f>
        <v>8</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dsBZrPh4aE5ULqs+M9FJ3vAm5JSl+KLQMINMQDT3IbDlvshi29i0SolaR2Xsr5faDrDBaDx/KTbUffmiJAmXqg==" saltValue="lAWsDwnXdAhRdKjCTzCZ+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ARAGON</v>
      </c>
    </row>
    <row r="4" spans="1:156" ht="13.5" thickBot="1">
      <c r="A4" t="str">
        <f>Criterios!A10</f>
        <v>Provincias</v>
      </c>
      <c r="B4" t="str">
        <f>Criterios!B10</f>
        <v>TERUEL</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6amx4FEgWMB/eEa3sYa/dPlPP5mnRm7T/xulJU5bUZc4HvSk5rDRhMVoypMW3aIY1KKzbLq047zesxOi2EGP4A==" saltValue="b6xLEthsUYxNU5xcpA6hr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ARAGON</v>
      </c>
    </row>
    <row r="2" spans="1:78" ht="16.5" customHeight="1">
      <c r="C2" s="1263" t="str">
        <f>Criterios!A10 &amp;"  "&amp;Criterios!B10 &amp; "  " &amp; IF(NOT(ISBLANK(Criterios!A11)),Criterios!A11 &amp;"  "&amp;Criterios!B11,"")</f>
        <v>Provincias  TERUEL  Resumenes por Partidos Judiciales  TERUEL</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4</v>
      </c>
      <c r="G10" s="1246">
        <f>IF(ISNUMBER(Datos!I10),Datos!I10," - ")</f>
        <v>4</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1</v>
      </c>
      <c r="AC10" s="1215">
        <f>IF(ISNUMBER(Datos!Q10),Datos!Q10," - ")</f>
        <v>0</v>
      </c>
      <c r="AD10" s="1247"/>
      <c r="AE10" s="1262"/>
      <c r="AF10" s="1245">
        <f>IF(ISNUMBER(Datos!L10),Datos!L10,"-")</f>
        <v>4</v>
      </c>
      <c r="AG10" s="1247"/>
      <c r="AH10" s="1247"/>
      <c r="AI10" s="1247"/>
      <c r="AJ10" s="1247"/>
      <c r="AK10" s="1247"/>
      <c r="AL10" s="1258"/>
      <c r="AM10" s="1248">
        <f>IF(ISNUMBER(Datos!R10),Datos!R10," - ")</f>
        <v>3</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1</v>
      </c>
      <c r="BD10" s="1218">
        <f>IF(ISNUMBER(Datos!N10),Datos!N10," - ")</f>
        <v>0</v>
      </c>
      <c r="BE10" s="1218" t="str">
        <f>IF(ISNUMBER(Datos!BW10),Datos!BW10," - ")</f>
        <v xml:space="preserve"> - </v>
      </c>
      <c r="BF10" s="1217" t="str">
        <f>IF(ISNUMBER(Datos!BX10),Datos!BX10," - ")</f>
        <v xml:space="preserve"> - </v>
      </c>
      <c r="BG10" s="1223">
        <f>IF(ISNUMBER(Datos!K10/Datos!J10),Datos!K10/Datos!J10," - ")</f>
        <v>1</v>
      </c>
      <c r="BH10" s="1226">
        <f>IF(ISNUMBER(((Datos!L10/Datos!K10)*11)/factor_trimestre),((Datos!L10/Datos!K10)*11)/factor_trimestre," - ")</f>
        <v>12</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3</v>
      </c>
      <c r="B12" s="1280" t="s">
        <v>247</v>
      </c>
      <c r="C12" s="1193" t="str">
        <f>Datos!A12</f>
        <v xml:space="preserve">Sección Civil y de Inst. TI                      </v>
      </c>
      <c r="D12" s="1281"/>
      <c r="E12" s="1226">
        <f>IF(ISNUMBER(Datos!AQ12),Datos!AQ12," - ")</f>
        <v>3</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57</v>
      </c>
      <c r="O12" s="1247"/>
      <c r="P12" s="1247"/>
      <c r="Q12" s="1215">
        <f>IF(ISNUMBER(Datos!P12),Datos!P12,0)</f>
        <v>150</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38</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146</v>
      </c>
      <c r="AI12" s="1247" t="str">
        <f>IF(ISNUMBER(Datos!CD12),Datos!CD12,"-")</f>
        <v>-</v>
      </c>
      <c r="AJ12" s="1247" t="str">
        <f>IF(ISNUMBER(Datos!EN12),Datos!EN12," - ")</f>
        <v xml:space="preserve"> - </v>
      </c>
      <c r="AK12" s="1247"/>
      <c r="AL12" s="1258"/>
      <c r="AM12" s="1248">
        <f>IF(ISNUMBER(Datos!R12),Datos!R12," - ")</f>
        <v>1684</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156</v>
      </c>
      <c r="BD12" s="1218">
        <f>IF(ISNUMBER(Datos!N12),Datos!N12," - ")</f>
        <v>173</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0.74380165289256195</v>
      </c>
      <c r="BH12" s="1226">
        <f>IF(ISNUMBER(((IF(J_V="SI",Datos!L12/Datos!K12,(Datos!L12+Datos!AB12)/(Datos!K12+Datos!AA12)))*11)/factor_trimestre),((IF(J_V="SI",Datos!L12/Datos!K12,(Datos!L12+Datos!AB12)/(Datos!K12+Datos!AA12)))*11)/factor_trimestre," - ")</f>
        <v>6.2055555555555557</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7.124681933842239E-2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3</v>
      </c>
      <c r="F13" s="1391">
        <f t="shared" si="0"/>
        <v>4</v>
      </c>
      <c r="G13" s="1391">
        <f t="shared" si="0"/>
        <v>4</v>
      </c>
      <c r="H13" s="1392">
        <f t="shared" si="0"/>
        <v>0</v>
      </c>
      <c r="I13" s="1391">
        <f t="shared" si="0"/>
        <v>0</v>
      </c>
      <c r="J13" s="1383">
        <f t="shared" si="0"/>
        <v>0</v>
      </c>
      <c r="K13" s="1383">
        <f t="shared" si="0"/>
        <v>0</v>
      </c>
      <c r="L13" s="1392">
        <f t="shared" si="0"/>
        <v>0</v>
      </c>
      <c r="M13" s="1392">
        <f t="shared" si="0"/>
        <v>0</v>
      </c>
      <c r="N13" s="1392">
        <f t="shared" si="0"/>
        <v>57</v>
      </c>
      <c r="O13" s="1393">
        <f t="shared" si="0"/>
        <v>0</v>
      </c>
      <c r="P13" s="1393">
        <f t="shared" si="0"/>
        <v>0</v>
      </c>
      <c r="Q13" s="1392">
        <f t="shared" si="0"/>
        <v>150</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1</v>
      </c>
      <c r="AC13" s="1392">
        <f t="shared" si="1"/>
        <v>38</v>
      </c>
      <c r="AD13" s="1392">
        <f t="shared" si="1"/>
        <v>0</v>
      </c>
      <c r="AE13" s="1392">
        <f t="shared" si="1"/>
        <v>0</v>
      </c>
      <c r="AF13" s="1392">
        <f t="shared" si="1"/>
        <v>4</v>
      </c>
      <c r="AG13" s="1392">
        <f t="shared" si="1"/>
        <v>0</v>
      </c>
      <c r="AH13" s="1392">
        <f t="shared" si="1"/>
        <v>146</v>
      </c>
      <c r="AI13" s="1392">
        <f t="shared" si="1"/>
        <v>0</v>
      </c>
      <c r="AJ13" s="1392">
        <f t="shared" si="1"/>
        <v>0</v>
      </c>
      <c r="AK13" s="1392">
        <f t="shared" si="1"/>
        <v>0</v>
      </c>
      <c r="AL13" s="1392">
        <f t="shared" si="1"/>
        <v>0</v>
      </c>
      <c r="AM13" s="1392">
        <f t="shared" si="1"/>
        <v>1687</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157</v>
      </c>
      <c r="BD13" s="1392">
        <f t="shared" si="1"/>
        <v>173</v>
      </c>
      <c r="BE13" s="1392">
        <f t="shared" si="1"/>
        <v>0</v>
      </c>
      <c r="BF13" s="1392">
        <f t="shared" si="1"/>
        <v>0</v>
      </c>
      <c r="BG13" s="1392">
        <f>IF(ISNUMBER(Datos!K13/Datos!J13),Datos!K13/Datos!J13," - ")</f>
        <v>0.72537313432835826</v>
      </c>
      <c r="BH13" s="1396">
        <f>IF(ISNUMBER(((Datos!L13/Datos!K13)*11)/factor_trimestre),((Datos!L13/Datos!K13)*11)/factor_trimestre," - ")</f>
        <v>6.018518518518519</v>
      </c>
      <c r="BI13" s="1392">
        <f>IF(ISNUMBER('Resol  Asuntos'!D13/NºAsuntos!G13),'Resol  Asuntos'!D13/NºAsuntos!G13," - ")</f>
        <v>0.29020332717190389</v>
      </c>
      <c r="BJ13" s="1392" t="str">
        <f>IF(ISNUMBER(Datos!CI13/Datos!CJ13),Datos!CI13/Datos!CJ13," - ")</f>
        <v xml:space="preserve"> - </v>
      </c>
      <c r="BK13" s="1392">
        <f>SUBTOTAL(9,BK8:BK12)</f>
        <v>0</v>
      </c>
      <c r="BL13" s="1392">
        <f>IF(ISNUMBER((I13-AB13+L13)/(F13)),(I13-AB13+L13)/(F13)," - ")</f>
        <v>-0.25</v>
      </c>
      <c r="BM13" s="1397">
        <f>SUBTOTAL(9,BM9:BM12)</f>
        <v>7.124681933842239E-2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3</v>
      </c>
      <c r="B17" s="1331" t="s">
        <v>397</v>
      </c>
      <c r="C17" s="1337" t="str">
        <f>Datos!A17</f>
        <v xml:space="preserve">Sección Civil y de Inst. TI                      </v>
      </c>
      <c r="D17" s="1338"/>
      <c r="E17" s="1435">
        <f>IF(ISNUMBER(Datos!AQ17),Datos!AQ17," - ")</f>
        <v>3</v>
      </c>
      <c r="F17" s="1332">
        <f>IF(ISNUMBER(AF17+AB17-Datos!J17-L17),AF17+AB17-Datos!J17-L17," - ")</f>
        <v>297</v>
      </c>
      <c r="G17" s="1335">
        <f>IF(ISNUMBER(IF(D_I="SI",Datos!I17,Datos!I17+Datos!AC17)),IF(D_I="SI",Datos!I17,Datos!I17+Datos!AC17)," - ")</f>
        <v>279</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8</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637</v>
      </c>
      <c r="AC17" s="1215">
        <f>IF(ISNUMBER(Datos!Q17),Datos!Q17," - ")</f>
        <v>13</v>
      </c>
      <c r="AD17" s="1247"/>
      <c r="AE17" s="1262"/>
      <c r="AF17" s="1333">
        <f>IF(ISNUMBER(IF(D_I="SI",Datos!L17,Datos!L17+Datos!AF17)),IF(D_I="SI",Datos!L17,Datos!L17+Datos!AF17)," - ")</f>
        <v>465</v>
      </c>
      <c r="AG17" s="1247"/>
      <c r="AH17" s="1247"/>
      <c r="AI17" s="1247"/>
      <c r="AJ17" s="1247"/>
      <c r="AK17" s="1247"/>
      <c r="AL17" s="1258"/>
      <c r="AM17" s="1248">
        <f>IF(ISNUMBER(Datos!R17),Datos!R17," - ")</f>
        <v>67</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74</v>
      </c>
      <c r="BD17" s="1218">
        <f>IF(ISNUMBER(Datos!N17),Datos!N17," - ")</f>
        <v>448</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0.79130434782608694</v>
      </c>
      <c r="BH17" s="1226">
        <f>IF(ISNUMBER(((IF(D_I="SI",Datos!L17/Datos!K17,(Datos!L17+Datos!AF17)/(Datos!K17+Datos!AE17)))*11)/factor_trimestre),((IF(D_I="SI",Datos!L17/Datos!K17,(Datos!L17+Datos!AF17)/(Datos!K17+Datos!AE17)))*11)/factor_trimestre," - ")</f>
        <v>2.1899529042386185</v>
      </c>
      <c r="BI17" s="1223">
        <f>IF(ISNUMBER('Resol  Asuntos'!D17/NºAsuntos!G17),'Resol  Asuntos'!D17/NºAsuntos!G17," - ")</f>
        <v>0.11616954474097331</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6</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43</v>
      </c>
      <c r="AC18" s="1215">
        <f>IF(ISNUMBER(Datos!Q18),Datos!Q18," - ")</f>
        <v>0</v>
      </c>
      <c r="AD18" s="1247"/>
      <c r="AE18" s="1262"/>
      <c r="AF18" s="1245">
        <f>IF(ISNUMBER(Datos!L18),Datos!L18,"-")</f>
        <v>5</v>
      </c>
      <c r="AG18" s="1247"/>
      <c r="AH18" s="1247"/>
      <c r="AI18" s="1247"/>
      <c r="AJ18" s="1247"/>
      <c r="AK18" s="1247"/>
      <c r="AL18" s="1258"/>
      <c r="AM18" s="1248">
        <f>IF(ISNUMBER(Datos!R18),Datos!R18," - ")</f>
        <v>5</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25</v>
      </c>
      <c r="BD18" s="1218">
        <f>IF(ISNUMBER(Datos!N18),Datos!N18," - ")</f>
        <v>16</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1.131578947368421</v>
      </c>
      <c r="BH18" s="1226">
        <f>IF(ISNUMBER(((IF(D_I="SI",Datos!L18/Datos!K18,(Datos!L18+Datos!AF18)/(Datos!K18+Datos!AE18)))*11)/factor_trimestre),((IF(D_I="SI",Datos!L18/Datos!K18,(Datos!L18+Datos!AF18)/(Datos!K18+Datos!AE18)))*11)/factor_trimestre," - ")</f>
        <v>0.34883720930232559</v>
      </c>
      <c r="BI18" s="1223">
        <f>IF(ISNUMBER('Resol  Asuntos'!D18/NºAsuntos!G18),'Resol  Asuntos'!D18/NºAsuntos!G18," - ")</f>
        <v>0.58139534883720934</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3</v>
      </c>
      <c r="F19" s="1391">
        <f>SUBTOTAL(9,F15:F18)</f>
        <v>297</v>
      </c>
      <c r="G19" s="1391">
        <f>SUBTOTAL(9,G15:G18)</f>
        <v>285</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8</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680</v>
      </c>
      <c r="AC19" s="1392">
        <f t="shared" si="4"/>
        <v>13</v>
      </c>
      <c r="AD19" s="1392">
        <f t="shared" si="4"/>
        <v>0</v>
      </c>
      <c r="AE19" s="1392">
        <f t="shared" si="4"/>
        <v>0</v>
      </c>
      <c r="AF19" s="1392">
        <f t="shared" si="4"/>
        <v>470</v>
      </c>
      <c r="AG19" s="1392">
        <f t="shared" si="4"/>
        <v>0</v>
      </c>
      <c r="AH19" s="1392">
        <f t="shared" si="4"/>
        <v>0</v>
      </c>
      <c r="AI19" s="1392">
        <f t="shared" si="4"/>
        <v>0</v>
      </c>
      <c r="AJ19" s="1392">
        <f t="shared" si="4"/>
        <v>0</v>
      </c>
      <c r="AK19" s="1392">
        <f t="shared" si="4"/>
        <v>0</v>
      </c>
      <c r="AL19" s="1392">
        <f t="shared" si="4"/>
        <v>0</v>
      </c>
      <c r="AM19" s="1392">
        <f t="shared" si="4"/>
        <v>72</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99</v>
      </c>
      <c r="BD19" s="1392">
        <f t="shared" si="4"/>
        <v>464</v>
      </c>
      <c r="BE19" s="1392">
        <f t="shared" si="4"/>
        <v>0</v>
      </c>
      <c r="BF19" s="1392">
        <f t="shared" si="4"/>
        <v>0</v>
      </c>
      <c r="BG19" s="1392">
        <f>IF(ISNUMBER(Datos!K19/Datos!J19),Datos!K19/Datos!J19," - ")</f>
        <v>0.80664294187425856</v>
      </c>
      <c r="BH19" s="1396">
        <f>IF(ISNUMBER(((Datos!L19/Datos!K19)*11)/factor_trimestre),((Datos!L19/Datos!K19)*11)/factor_trimestre," - ")</f>
        <v>2.0735294117647061</v>
      </c>
      <c r="BI19" s="1392">
        <f>SUBTOTAL(9,BI15:BI18)</f>
        <v>0.69756489357818263</v>
      </c>
      <c r="BJ19" s="1392">
        <f>SUBTOTAL(9,BJ15:BJ18)</f>
        <v>0</v>
      </c>
      <c r="BK19" s="1392">
        <f>SUBTOTAL(9,BK15:BK18)</f>
        <v>0</v>
      </c>
      <c r="BL19" s="1392">
        <f>IF(ISNUMBER((I19-AB19+L19)/(F19)),(I19-AB19+L19)/(F19)," - ")</f>
        <v>-2.2895622895622894</v>
      </c>
      <c r="BM19" s="1398">
        <f>IF(ISNUMBER((Datos!P19-Datos!Q19)/(Datos!R19-Datos!P19+Datos!Q19)),(Datos!P19-Datos!Q19)/(Datos!R19-Datos!P19+Datos!Q19)," - ")</f>
        <v>-6.4935064935064929E-2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6</v>
      </c>
      <c r="F20" s="1367">
        <f t="shared" si="6"/>
        <v>301</v>
      </c>
      <c r="G20" s="1367">
        <f t="shared" si="6"/>
        <v>289</v>
      </c>
      <c r="H20" s="1369">
        <f t="shared" si="6"/>
        <v>0</v>
      </c>
      <c r="I20" s="1367">
        <f t="shared" si="6"/>
        <v>0</v>
      </c>
      <c r="J20" s="1369">
        <f t="shared" si="6"/>
        <v>0</v>
      </c>
      <c r="K20" s="1369">
        <f t="shared" si="6"/>
        <v>0</v>
      </c>
      <c r="L20" s="1386">
        <f t="shared" si="6"/>
        <v>0</v>
      </c>
      <c r="M20" s="1386">
        <f t="shared" si="6"/>
        <v>0</v>
      </c>
      <c r="N20" s="1386">
        <f t="shared" si="6"/>
        <v>57</v>
      </c>
      <c r="O20" s="1386">
        <f t="shared" si="6"/>
        <v>0</v>
      </c>
      <c r="P20" s="1386">
        <f t="shared" si="6"/>
        <v>0</v>
      </c>
      <c r="Q20" s="1369">
        <f t="shared" si="6"/>
        <v>158</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681</v>
      </c>
      <c r="AC20" s="1368">
        <f t="shared" si="7"/>
        <v>51</v>
      </c>
      <c r="AD20" s="1368">
        <f t="shared" si="7"/>
        <v>0</v>
      </c>
      <c r="AE20" s="1368">
        <f t="shared" si="7"/>
        <v>0</v>
      </c>
      <c r="AF20" s="1371">
        <f t="shared" si="7"/>
        <v>474</v>
      </c>
      <c r="AG20" s="1371">
        <f t="shared" si="7"/>
        <v>0</v>
      </c>
      <c r="AH20" s="1371">
        <f t="shared" si="7"/>
        <v>146</v>
      </c>
      <c r="AI20" s="1371">
        <f t="shared" si="7"/>
        <v>0</v>
      </c>
      <c r="AJ20" s="1368">
        <f t="shared" si="7"/>
        <v>0</v>
      </c>
      <c r="AK20" s="1371">
        <f t="shared" si="7"/>
        <v>0</v>
      </c>
      <c r="AL20" s="1371">
        <f t="shared" si="7"/>
        <v>0</v>
      </c>
      <c r="AM20" s="1371">
        <f t="shared" si="7"/>
        <v>1759</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256</v>
      </c>
      <c r="BD20" s="1367">
        <f t="shared" si="7"/>
        <v>637</v>
      </c>
      <c r="BE20" s="1367">
        <f t="shared" si="7"/>
        <v>0</v>
      </c>
      <c r="BF20" s="1373">
        <f t="shared" si="7"/>
        <v>0</v>
      </c>
      <c r="BG20" s="1404">
        <f>IF(ISNUMBER(Datos!K20/Datos!J20),Datos!K20/Datos!J20," - ")</f>
        <v>0.77065432914738929</v>
      </c>
      <c r="BH20" s="1404">
        <f>IF(ISNUMBER(((Datos!L20/Datos!K20)*11)/factor_trimestre),((Datos!L20/Datos!K20)*11)/factor_trimestre," - ")</f>
        <v>3.717838765008576</v>
      </c>
      <c r="BI20" s="1362">
        <f>IF(ISNUMBER(Datos!J20/Datos!I20),Datos!J20/Datos!I20," - ")</f>
        <v>1.4061338289962826</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-2.2624584717607972</v>
      </c>
      <c r="BM20" s="1387">
        <f>IF(ISNUMBER((Datos!P20-Datos!Q20+R20)/(Datos!R20-Datos!P20+Datos!Q20-R20)),(Datos!P20-Datos!Q20+R20)/(Datos!R20-Datos!P20+Datos!Q20-R20)," - ")</f>
        <v>6.4769975786924935E-2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115.6</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1.5491933384829668</v>
      </c>
      <c r="F22" s="1298">
        <f>IF(ISNUMBER(STDEV(F8:F19)),STDEV(F8:F19),"-")</f>
        <v>169.16362887256034</v>
      </c>
      <c r="G22" s="1299">
        <f>IF(ISNUMBER(STDEV(G8:G19)),STDEV(G8:G19),"-")</f>
        <v>151.91872827271823</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353.20362399046815</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65.111186954828796</v>
      </c>
      <c r="BD22" s="1298"/>
      <c r="BE22" s="1298">
        <f>IF(ISNUMBER(STDEV(BE8:BE19)),STDEV(BE8:BE19),"-")</f>
        <v>0</v>
      </c>
      <c r="BF22" s="1303">
        <f>IF(ISNUMBER(STDEV(BF8:BF19)),STDEV(BF8:BF19),"-")</f>
        <v>0</v>
      </c>
      <c r="BG22" s="1360">
        <f>IF(ISNUMBER(STDEV(BG8:BG19)),STDEV(BG8:BG19),"-")</f>
        <v>0.16266407934804272</v>
      </c>
      <c r="BH22" s="1361">
        <f>IF(ISNUMBER(STDEV(BH8:BH19)),STDEV(BH8:BH19),"-")</f>
        <v>4.2275049603899699</v>
      </c>
      <c r="BI22" s="1224">
        <f>IF(ISNUMBER(STDEV(BI8:BI19)),STDEV(BI8:BI19),"-")</f>
        <v>0.26598479910601042</v>
      </c>
      <c r="BJ22" s="1219" t="str">
        <f>IF(ISNUMBER(BL22/BM22),BL22/BM22," - ")</f>
        <v xml:space="preserve"> - </v>
      </c>
      <c r="BK22" s="1320"/>
      <c r="BL22" s="1306">
        <f>IF(ISNUMBER(STDEV(BL8:BL19)),STDEV(BL8:BL19),"-")</f>
        <v>1.4421883256018555</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GGwaD1Ima+gLmiPDrw6orS/8Z905WxowrTCEzATa0uf3mD4pP3F2Z1aO4K4xkISbosAAH9FBHuAzVSerG6t4xQ==" saltValue="LmBtSlFHILslcO+TcVAkYw=="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ARAGON</v>
      </c>
    </row>
    <row r="2" spans="1:78" ht="16.5" customHeight="1">
      <c r="C2" s="527" t="str">
        <f>Criterios!A10 &amp;"  "&amp;Criterios!B10 &amp; "  " &amp; IF(NOT(ISBLANK(Criterios!A11)),Criterios!A11 &amp;"  "&amp;Criterios!B11,"")</f>
        <v>Provincias  TERUEL  Resumenes por Partidos Judiciales  TERUEL</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4</v>
      </c>
      <c r="G10" s="224">
        <f>IF(ISNUMBER(Datos!I10),Datos!I10," - ")</f>
        <v>4</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1</v>
      </c>
      <c r="Z10" s="617">
        <f>IF(ISNUMBER(Datos!Q10),Datos!Q10," - ")</f>
        <v>0</v>
      </c>
      <c r="AA10" s="331">
        <f>IF(ISNUMBER(Datos!L10),Datos!L10,"-")</f>
        <v>4</v>
      </c>
      <c r="AB10" s="333"/>
      <c r="AC10" s="333"/>
      <c r="AD10" s="483"/>
      <c r="AE10" s="483">
        <f>IF(ISNUMBER(Datos!R10),Datos!R10," - ")</f>
        <v>3</v>
      </c>
      <c r="AF10" s="228" t="str">
        <f>IF(ISNUMBER(Datos!BV10),Datos!BV10," - ")</f>
        <v xml:space="preserve"> - </v>
      </c>
      <c r="AG10" s="224" t="str">
        <f>IF(ISNUMBER(Datos!DV10),Datos!DV10," - ")</f>
        <v xml:space="preserve"> - </v>
      </c>
      <c r="AH10" s="297"/>
      <c r="AI10" s="226"/>
      <c r="AJ10" s="224">
        <f>IF(ISNUMBER(Datos!M10),Datos!M10," - ")</f>
        <v>1</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12</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3</v>
      </c>
      <c r="B12" s="506" t="s">
        <v>247</v>
      </c>
      <c r="C12" s="7" t="str">
        <f>Datos!A12</f>
        <v xml:space="preserve">Sección Civil y de Inst. TI                      </v>
      </c>
      <c r="D12" s="507"/>
      <c r="E12" s="1163">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150</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38</v>
      </c>
      <c r="AA12" s="331" t="str">
        <f>IF(ISNUMBER(IF(J_V="SI",Datos!L12,Datos!L12+Datos!AB12)-IF(Monitorios="SI",Datos!CD12,0)),
                          IF(J_V="SI",Datos!L12,Datos!L12+Datos!AB12)-IF(Monitorios="SI",Datos!CD12,0),
                          " - ")</f>
        <v xml:space="preserve"> - </v>
      </c>
      <c r="AB12" s="333"/>
      <c r="AC12" s="333"/>
      <c r="AD12" s="483"/>
      <c r="AE12" s="483">
        <f>IF(ISNUMBER(Datos!R12),Datos!R12," - ")</f>
        <v>1684</v>
      </c>
      <c r="AF12" s="228" t="str">
        <f>IF(ISNUMBER(Datos!BV12),Datos!BV12," - ")</f>
        <v xml:space="preserve"> - </v>
      </c>
      <c r="AG12" s="224" t="str">
        <f>IF(ISNUMBER(Datos!DV12),Datos!DV12," - ")</f>
        <v xml:space="preserve"> - </v>
      </c>
      <c r="AH12" s="297"/>
      <c r="AI12" s="226"/>
      <c r="AJ12" s="224">
        <f>IF(ISNUMBER(Datos!M12),Datos!M12," - ")</f>
        <v>156</v>
      </c>
      <c r="AK12" s="228">
        <f>IF(ISNUMBER(Datos!N12),Datos!N12," - ")</f>
        <v>173</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6.2055555555555557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7.124681933842239E-2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3</v>
      </c>
      <c r="F13" s="895">
        <f>SUBTOTAL(9,F8:F12)</f>
        <v>4</v>
      </c>
      <c r="G13" s="895">
        <f>SUBTOTAL(9,G8:G12)</f>
        <v>4</v>
      </c>
      <c r="H13" s="905"/>
      <c r="I13" s="895">
        <f t="shared" ref="I13:N13" si="0">SUBTOTAL(9,I8:I12)</f>
        <v>0</v>
      </c>
      <c r="J13" s="864">
        <f t="shared" si="0"/>
        <v>0</v>
      </c>
      <c r="K13" s="905">
        <f t="shared" si="0"/>
        <v>0</v>
      </c>
      <c r="L13" s="905">
        <f t="shared" si="0"/>
        <v>0</v>
      </c>
      <c r="M13" s="905">
        <f t="shared" si="0"/>
        <v>0</v>
      </c>
      <c r="N13" s="905">
        <f t="shared" si="0"/>
        <v>150</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1</v>
      </c>
      <c r="Z13" s="904">
        <f t="shared" si="2"/>
        <v>38</v>
      </c>
      <c r="AA13" s="897">
        <f t="shared" si="2"/>
        <v>4</v>
      </c>
      <c r="AB13" s="897">
        <f t="shared" si="2"/>
        <v>0</v>
      </c>
      <c r="AC13" s="897">
        <f t="shared" si="2"/>
        <v>0</v>
      </c>
      <c r="AD13" s="897">
        <f t="shared" si="2"/>
        <v>0</v>
      </c>
      <c r="AE13" s="897">
        <f t="shared" si="2"/>
        <v>1687</v>
      </c>
      <c r="AF13" s="905">
        <f t="shared" si="2"/>
        <v>0</v>
      </c>
      <c r="AG13" s="905">
        <f t="shared" si="2"/>
        <v>0</v>
      </c>
      <c r="AH13" s="905">
        <f t="shared" si="2"/>
        <v>0</v>
      </c>
      <c r="AI13" s="905">
        <f t="shared" si="2"/>
        <v>0</v>
      </c>
      <c r="AJ13" s="905">
        <f t="shared" si="2"/>
        <v>157</v>
      </c>
      <c r="AK13" s="905">
        <f t="shared" si="2"/>
        <v>173</v>
      </c>
      <c r="AL13" s="905">
        <f t="shared" si="2"/>
        <v>0</v>
      </c>
      <c r="AM13" s="905">
        <f t="shared" si="2"/>
        <v>0</v>
      </c>
      <c r="AN13" s="905">
        <f t="shared" si="2"/>
        <v>0</v>
      </c>
      <c r="AO13" s="901">
        <f>IF(ISNUMBER(((NºAsuntos!I13/NºAsuntos!G13)*11)/factor_trimestre),((NºAsuntos!I13/NºAsuntos!G13)*11)/factor_trimestre," - ")</f>
        <v>6.2162661737523104</v>
      </c>
      <c r="AP13" s="907" t="str">
        <f>IF(ISNUMBER(Datos!CI13/Datos!CJ13),Datos!CI13/Datos!CJ13," - ")</f>
        <v xml:space="preserve"> - </v>
      </c>
      <c r="AQ13" s="923">
        <f t="shared" ref="AQ13:AV13" si="3">SUBTOTAL(9,AQ9:AQ12)</f>
        <v>0</v>
      </c>
      <c r="AR13" s="923">
        <f t="shared" si="3"/>
        <v>7.124681933842239E-2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3</v>
      </c>
      <c r="B17" s="506" t="s">
        <v>397</v>
      </c>
      <c r="C17" s="159" t="str">
        <f>Datos!A17</f>
        <v xml:space="preserve">Sección Civil y de Inst. TI                      </v>
      </c>
      <c r="D17" s="501"/>
      <c r="E17" s="1163">
        <f>IF(ISNUMBER(Datos!AQ17),Datos!AQ17," - ")</f>
        <v>3</v>
      </c>
      <c r="F17" s="332">
        <f>IF(ISNUMBER(AA17+Y17-Datos!J17-K15),AA17+Y17-Datos!J17-K15," - ")</f>
        <v>297</v>
      </c>
      <c r="G17" s="224">
        <f>IF(ISNUMBER(IF(D_I="SI",Datos!I17,Datos!I17+Datos!AC17)),IF(D_I="SI",Datos!I17,Datos!I17+Datos!AC17)," - ")</f>
        <v>279</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8</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637</v>
      </c>
      <c r="Z17" s="617">
        <f>IF(ISNUMBER(Datos!Q17),Datos!Q17," - ")</f>
        <v>13</v>
      </c>
      <c r="AA17" s="331">
        <f>IF(ISNUMBER(IF(D_I="SI",Datos!L17,Datos!L17+Datos!AF17)),IF(D_I="SI",Datos!L17,Datos!L17+Datos!AF17)," - ")</f>
        <v>465</v>
      </c>
      <c r="AB17" s="333"/>
      <c r="AC17" s="333"/>
      <c r="AD17" s="483"/>
      <c r="AE17" s="483">
        <f>IF(ISNUMBER(Datos!R17),Datos!R17," - ")</f>
        <v>67</v>
      </c>
      <c r="AF17" s="228" t="str">
        <f>IF(ISNUMBER(Datos!BV17),Datos!BV17," - ")</f>
        <v xml:space="preserve"> - </v>
      </c>
      <c r="AG17" s="224"/>
      <c r="AH17" s="297"/>
      <c r="AI17" s="226"/>
      <c r="AJ17" s="224">
        <f>IF(ISNUMBER(Datos!M17),Datos!M17," - ")</f>
        <v>74</v>
      </c>
      <c r="AK17" s="228">
        <f>IF(ISNUMBER(Datos!N17),Datos!N17," - ")</f>
        <v>448</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2.1899529042386185</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6</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43</v>
      </c>
      <c r="Z18" s="617">
        <f>IF(ISNUMBER(Datos!Q18),Datos!Q18," - ")</f>
        <v>0</v>
      </c>
      <c r="AA18" s="331">
        <f>IF(ISNUMBER(Datos!L18),Datos!L18,"-")</f>
        <v>5</v>
      </c>
      <c r="AB18" s="333"/>
      <c r="AC18" s="333"/>
      <c r="AD18" s="483"/>
      <c r="AE18" s="483">
        <f>IF(ISNUMBER(Datos!R18),Datos!R18," - ")</f>
        <v>5</v>
      </c>
      <c r="AF18" s="228" t="str">
        <f>IF(ISNUMBER(Datos!BV18),Datos!BV18," - ")</f>
        <v xml:space="preserve"> - </v>
      </c>
      <c r="AG18" s="224" t="str">
        <f>IF(ISNUMBER(Datos!DV18),Datos!DV18," - ")</f>
        <v xml:space="preserve"> - </v>
      </c>
      <c r="AH18" s="297"/>
      <c r="AI18" s="226"/>
      <c r="AJ18" s="224">
        <f>IF(ISNUMBER(Datos!M18),Datos!M18," - ")</f>
        <v>25</v>
      </c>
      <c r="AK18" s="228">
        <f>IF(ISNUMBER(Datos!N18),Datos!N18," - ")</f>
        <v>16</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0.34883720930232559</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3</v>
      </c>
      <c r="F19" s="895">
        <f>SUBTOTAL(9,F15:F18)</f>
        <v>297</v>
      </c>
      <c r="G19" s="895">
        <f>SUBTOTAL(9,G15:G18)</f>
        <v>285</v>
      </c>
      <c r="H19" s="927">
        <f>SUBTOTAL(9,H15:H18)</f>
        <v>0</v>
      </c>
      <c r="I19" s="908">
        <f>SUBTOTAL(9,I15:I18)</f>
        <v>0</v>
      </c>
      <c r="J19" s="864">
        <f>SUBTOTAL(9,J14:J18)</f>
        <v>0</v>
      </c>
      <c r="K19" s="927">
        <f t="shared" ref="K19:S19" si="4">SUBTOTAL(9,K15:K18)</f>
        <v>0</v>
      </c>
      <c r="L19" s="927">
        <f t="shared" si="4"/>
        <v>0</v>
      </c>
      <c r="M19" s="927">
        <f t="shared" si="4"/>
        <v>0</v>
      </c>
      <c r="N19" s="927">
        <f t="shared" si="4"/>
        <v>8</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680</v>
      </c>
      <c r="Z19" s="927">
        <f t="shared" si="5"/>
        <v>13</v>
      </c>
      <c r="AA19" s="927">
        <f t="shared" si="5"/>
        <v>470</v>
      </c>
      <c r="AB19" s="927">
        <f t="shared" si="5"/>
        <v>0</v>
      </c>
      <c r="AC19" s="927">
        <f t="shared" si="5"/>
        <v>0</v>
      </c>
      <c r="AD19" s="927">
        <f t="shared" si="5"/>
        <v>0</v>
      </c>
      <c r="AE19" s="927">
        <f t="shared" si="5"/>
        <v>72</v>
      </c>
      <c r="AF19" s="927">
        <f t="shared" si="5"/>
        <v>0</v>
      </c>
      <c r="AG19" s="927">
        <f t="shared" si="5"/>
        <v>0</v>
      </c>
      <c r="AH19" s="927">
        <f t="shared" si="5"/>
        <v>0</v>
      </c>
      <c r="AI19" s="927">
        <f t="shared" si="5"/>
        <v>0</v>
      </c>
      <c r="AJ19" s="927">
        <f t="shared" si="5"/>
        <v>99</v>
      </c>
      <c r="AK19" s="927">
        <f t="shared" si="5"/>
        <v>464</v>
      </c>
      <c r="AL19" s="927">
        <f t="shared" si="5"/>
        <v>0</v>
      </c>
      <c r="AM19" s="927">
        <f t="shared" si="5"/>
        <v>0</v>
      </c>
      <c r="AN19" s="927">
        <f t="shared" si="5"/>
        <v>0</v>
      </c>
      <c r="AO19" s="929">
        <f>IF(ISNUMBER(((NºAsuntos!I19/NºAsuntos!G19)*11)/factor_trimestre),((NºAsuntos!I19/NºAsuntos!G19)*11)/factor_trimestre," - ")</f>
        <v>2.0735294117647061</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6</v>
      </c>
      <c r="F20" s="817">
        <f t="shared" si="7"/>
        <v>301</v>
      </c>
      <c r="G20" s="817">
        <f t="shared" si="7"/>
        <v>289</v>
      </c>
      <c r="H20" s="818">
        <f t="shared" si="7"/>
        <v>0</v>
      </c>
      <c r="I20" s="817">
        <f t="shared" si="7"/>
        <v>0</v>
      </c>
      <c r="J20" s="819">
        <f t="shared" si="7"/>
        <v>0</v>
      </c>
      <c r="K20" s="817">
        <f t="shared" si="7"/>
        <v>0</v>
      </c>
      <c r="L20" s="820">
        <f t="shared" si="7"/>
        <v>0</v>
      </c>
      <c r="M20" s="817">
        <f t="shared" si="7"/>
        <v>0</v>
      </c>
      <c r="N20" s="818">
        <f t="shared" si="7"/>
        <v>158</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681</v>
      </c>
      <c r="Z20" s="824">
        <f t="shared" si="8"/>
        <v>51</v>
      </c>
      <c r="AA20" s="825">
        <f t="shared" si="8"/>
        <v>474</v>
      </c>
      <c r="AB20" s="825">
        <f t="shared" si="8"/>
        <v>0</v>
      </c>
      <c r="AC20" s="825">
        <f t="shared" si="8"/>
        <v>0</v>
      </c>
      <c r="AD20" s="826">
        <f t="shared" si="8"/>
        <v>0</v>
      </c>
      <c r="AE20" s="826">
        <f t="shared" si="8"/>
        <v>1759</v>
      </c>
      <c r="AF20" s="827">
        <f t="shared" si="8"/>
        <v>0</v>
      </c>
      <c r="AG20" s="828">
        <f t="shared" si="8"/>
        <v>0</v>
      </c>
      <c r="AH20" s="829">
        <f t="shared" si="8"/>
        <v>0</v>
      </c>
      <c r="AI20" s="827">
        <f t="shared" si="8"/>
        <v>0</v>
      </c>
      <c r="AJ20" s="817">
        <f t="shared" si="8"/>
        <v>256</v>
      </c>
      <c r="AK20" s="817">
        <f t="shared" si="8"/>
        <v>637</v>
      </c>
      <c r="AL20" s="817">
        <f t="shared" si="8"/>
        <v>0</v>
      </c>
      <c r="AM20" s="830">
        <f t="shared" si="8"/>
        <v>0</v>
      </c>
      <c r="AN20" s="820">
        <f>IF(ISNUMBER(Datos!K20/Datos!J20),Datos!K20/Datos!J20," - ")</f>
        <v>0.77065432914738929</v>
      </c>
      <c r="AO20" s="820">
        <f>IF(ISNUMBER(FIND("06",Criterios!A8,1)),(IF(ISNUMBER(((Datos!R20/Datos!Q20)*11)/factor_trimestre),((Datos!R20/Datos!Q20)*11)/factor_trimestre," - ")),(IF(ISNUMBER(((Datos!L20/Datos!K20)*11)/factor_trimestre),((Datos!L20/Datos!K20)*11)/factor_trimestre," - ")))</f>
        <v>3.717838765008576</v>
      </c>
      <c r="AP20" s="831" t="str">
        <f>IF(ISNUMBER(Datos!CI20/Datos!CJ20),Datos!CI20/Datos!CJ20," - ")</f>
        <v xml:space="preserve"> - </v>
      </c>
      <c r="AQ20" s="831">
        <f>IF(OR(ISNUMBER(FIND("01",Criterios!A8,1)),ISNUMBER(FIND("02",Criterios!A8,1)),ISNUMBER(FIND("03",Criterios!A8,1)),ISNUMBER(FIND("04",Criterios!A8,1))),(J20-Y20+K20)/(F20-K20),(I20-Y20+K20)/(F20-K20))</f>
        <v>-2.2624584717607972</v>
      </c>
      <c r="AR20" s="831">
        <f>IF(ISNUMBER((Datos!P20-Datos!Q20+O20)/(Datos!R20-Datos!P20+Datos!Q20-O20)),(Datos!P20-Datos!Q20+O20)/(Datos!R20-Datos!P20+Datos!Q20-O20)," - ")</f>
        <v>6.4769975786924935E-2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115.6</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169.16362887256034</v>
      </c>
      <c r="G22" s="551">
        <f>IF(ISNUMBER(STDEV(G8:G19)),STDEV(G8:G19),"-")</f>
        <v>151.91872827271823</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65.111186954828796</v>
      </c>
      <c r="AK22" s="251"/>
      <c r="AL22" s="251">
        <f>IF(ISNUMBER(STDEV(AL8:AL19)),STDEV(AL8:AL19),"-")</f>
        <v>0</v>
      </c>
      <c r="AM22" s="253">
        <f>IF(ISNUMBER(STDEV(AM8:AM19)),STDEV(AM8:AM19),"-")</f>
        <v>0</v>
      </c>
      <c r="AN22" s="538">
        <f>IF(ISNUMBER(STDEV(AN8:AN19)),STDEV(AN8:AN19),"-")</f>
        <v>0</v>
      </c>
      <c r="AO22" s="539">
        <f>IF(ISNUMBER(STDEV(AO8:AO19)),STDEV(AO8:AO19),"-")</f>
        <v>4.2396013296860531</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8PHug4DQMK92Nu9OGeMnABhSzWH572GrVq1BlelPD+ogavIt5D5RfIrzgrw0tgBK1NlzwamAZWWdiBJjaRyMhQ==" saltValue="ASyVqD5/g5nsgsX4n9KdC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rNoigIERgpBgDSEuQs9C3uyN7I67XzhEgxfwA+EyotLw+niQTrdlNaAiUeoeZDiD5wqHCJDJvVJqNP1+4z8Vmg==" saltValue="ZyxEcuCVrKtcAUB4Qm+6E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TERUEL</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jOIaLf5tA6XW0VOwe4gcx2mdBIk761nTrI74VGUfx+AkIGfXpJVZyDZnDDeYkkbgjBCq2EtN+R6q8ck+6HBVeA==" saltValue="YwOoMD3zPBPWNTSx4OKFx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ARAGON</v>
      </c>
    </row>
    <row r="2" spans="1:78" ht="16.5" customHeight="1">
      <c r="C2" s="1263" t="str">
        <f>Criterios!A10 &amp;"  "&amp;Criterios!B10 &amp; "  " &amp; IF(NOT(ISBLANK(Criterios!A11)),Criterios!A11 &amp;"  "&amp;Criterios!B11,"")</f>
        <v>Provincias  TERUEL  Resumenes por Partidos Judiciales  TERUEL</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0.29020332717190389</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0.20520474056615151</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7aHMATIrzHbaTqPO4fPINszwPxcV3nZf+UTikyMM8eV2odXVJfiUkPIeePP+kSqglf22uNZr4ZyxV0Ld9Jol6Q==" saltValue="AkvDQMewztIw58uIfXkevA=="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6fOrSZSrwdB9f/F8BRtnDnDuWc/MusjvmhrbKxHC/JE01oB23isSQOehZ/O2IUnYlQnghGS9wi94pFZa91wg0A==" saltValue="ycRbzRnLWoBtKE3LdNWYo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ARAGON</v>
      </c>
      <c r="C2" s="374"/>
      <c r="D2" s="374"/>
      <c r="E2" s="374"/>
      <c r="F2" s="374"/>
    </row>
    <row r="3" spans="1:69" ht="19.5">
      <c r="A3" s="389" t="s">
        <v>115</v>
      </c>
      <c r="B3" s="390" t="str">
        <f>Criterios!A10 &amp;"  "&amp;Criterios!B10</f>
        <v>Provincias  TERUEL</v>
      </c>
      <c r="D3" s="374"/>
      <c r="E3" s="374"/>
      <c r="F3" s="374"/>
      <c r="BQ3" s="470"/>
    </row>
    <row r="4" spans="1:69" ht="13.5" thickBot="1">
      <c r="A4" s="374"/>
      <c r="B4" s="390" t="str">
        <f>Criterios!A11 &amp;"  "&amp;Criterios!B11</f>
        <v>Resumenes por Partidos Judiciales  TERUEL</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4</v>
      </c>
      <c r="D10" s="403">
        <f>IF(ISNUMBER(C10/Datos!BH10),C10/Datos!BH10," - ")</f>
        <v>4</v>
      </c>
      <c r="E10" s="402">
        <f>IF(ISNUMBER(Datos!J10),Datos!J10," - ")</f>
        <v>1</v>
      </c>
      <c r="F10" s="403">
        <f>IF(ISNUMBER(E10/B10),E10/B10," - ")</f>
        <v>1</v>
      </c>
      <c r="G10" s="402">
        <f>IF(ISNUMBER(Datos!K10),Datos!K10," - ")</f>
        <v>1</v>
      </c>
      <c r="H10" s="403">
        <f>IF(ISNUMBER(G10/B10),G10/B10," - ")</f>
        <v>1</v>
      </c>
      <c r="I10" s="402">
        <f>IF(ISNUMBER(Datos!L10),Datos!L10," - ")</f>
        <v>4</v>
      </c>
      <c r="J10" s="403">
        <f>IF(ISNUMBER(I10/B10),I10/B10," - ")</f>
        <v>4</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3</v>
      </c>
      <c r="C12" s="402">
        <f>IF(ISNUMBER(IF(J_V="SI",Datos!I12,Datos!I12+Datos!Y12)),IF(J_V="SI",Datos!I12,Datos!I12+Datos!Y12)," - ")</f>
        <v>931</v>
      </c>
      <c r="D12" s="403">
        <f>IF(ISNUMBER(C12/Datos!BH12),C12/Datos!BH12," - ")</f>
        <v>310.33333333333331</v>
      </c>
      <c r="E12" s="402">
        <f>IF(ISNUMBER(IF(J_V="SI",Datos!J12,Datos!J12+Datos!Z12)),IF(J_V="SI",Datos!J12,Datos!J12+Datos!Z12)," - ")</f>
        <v>726</v>
      </c>
      <c r="F12" s="403">
        <f>IF(ISNUMBER(E12/B12),E12/B12," - ")</f>
        <v>242</v>
      </c>
      <c r="G12" s="402">
        <f>IF(ISNUMBER(IF(J_V="SI",Datos!K12,Datos!K12+Datos!AA12)),IF(J_V="SI",Datos!K12,Datos!K12+Datos!AA12)," - ")</f>
        <v>540</v>
      </c>
      <c r="H12" s="403">
        <f>IF(ISNUMBER(G12/B12),G12/B12," - ")</f>
        <v>180</v>
      </c>
      <c r="I12" s="402">
        <f>IF(ISNUMBER(IF(J_V="SI",Datos!L12,Datos!L12+Datos!AB12)),IF(J_V="SI",Datos!L12,Datos!L12+Datos!AB12)," - ")</f>
        <v>1117</v>
      </c>
      <c r="J12" s="403">
        <f>IF(ISNUMBER(I12/B12),I12/B12," - ")</f>
        <v>372.33333333333331</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3</v>
      </c>
      <c r="C13" s="846">
        <f>SUBTOTAL(9,C8:C12)</f>
        <v>935</v>
      </c>
      <c r="D13" s="847" t="str">
        <f>IF(ISNUMBER(C13/Datos!BI13),C13/Datos!BI13," - ")</f>
        <v xml:space="preserve"> - </v>
      </c>
      <c r="E13" s="846">
        <f>SUBTOTAL(9,E8:E12)</f>
        <v>727</v>
      </c>
      <c r="F13" s="847">
        <f>IF(ISNUMBER(E13/B13),E13/B13," - ")</f>
        <v>242.33333333333334</v>
      </c>
      <c r="G13" s="846">
        <f>SUBTOTAL(9,G8:G12)</f>
        <v>541</v>
      </c>
      <c r="H13" s="847">
        <f>IF(ISNUMBER(G13/B13),G13/B13," - ")</f>
        <v>180.33333333333334</v>
      </c>
      <c r="I13" s="846">
        <f>SUBTOTAL(9,I8:I12)</f>
        <v>1121</v>
      </c>
      <c r="J13" s="847">
        <f>IF(ISNUMBER(I13/B13),I13/B13," - ")</f>
        <v>373.66666666666669</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3</v>
      </c>
      <c r="C17" s="402">
        <f>IF(ISNUMBER(IF(D_I="SI",Datos!I17,Datos!I17+Datos!AC17)),IF(D_I="SI",Datos!I17,Datos!I17+Datos!AC17)," - ")</f>
        <v>279</v>
      </c>
      <c r="D17" s="403">
        <f>IF(ISNUMBER(C17/Datos!BH17),C17/Datos!BH17," - ")</f>
        <v>93</v>
      </c>
      <c r="E17" s="402">
        <f>IF(ISNUMBER(IF(D_I="SI",Datos!J17,Datos!J17+Datos!AD17)),IF(D_I="SI",Datos!J17,Datos!J17+Datos!AD17)," - ")</f>
        <v>805</v>
      </c>
      <c r="F17" s="403">
        <f>IF(ISNUMBER(E17/B17),E17/B17," - ")</f>
        <v>268.33333333333331</v>
      </c>
      <c r="G17" s="402">
        <f>IF(ISNUMBER(IF(D_I="SI",Datos!K17,Datos!K17+Datos!AE17)),IF(D_I="SI",Datos!K17,Datos!K17+Datos!AE17)," - ")</f>
        <v>637</v>
      </c>
      <c r="H17" s="403">
        <f>IF(ISNUMBER(G17/B17),G17/B17," - ")</f>
        <v>212.33333333333334</v>
      </c>
      <c r="I17" s="402">
        <f>IF(ISNUMBER(IF(D_I="SI",Datos!L17,Datos!L17+Datos!AF17)),IF(D_I="SI",Datos!L17,Datos!L17+Datos!AF17)," - ")</f>
        <v>465</v>
      </c>
      <c r="J17" s="403">
        <f>IF(ISNUMBER(I17/B17),I17/B17," - ")</f>
        <v>155</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6</v>
      </c>
      <c r="D18" s="403">
        <f>IF(ISNUMBER(C18/Datos!BH18),C18/Datos!BH18," - ")</f>
        <v>6</v>
      </c>
      <c r="E18" s="402">
        <f>IF(ISNUMBER(IF(D_I="SI",Datos!J18,Datos!J18+Datos!AD18)),IF(D_I="SI",Datos!J18,Datos!J18+Datos!AD18)," - ")</f>
        <v>38</v>
      </c>
      <c r="F18" s="403">
        <f>IF(ISNUMBER(E18/B18),E18/B18," - ")</f>
        <v>38</v>
      </c>
      <c r="G18" s="402">
        <f>IF(ISNUMBER(IF(D_I="SI",Datos!K18,Datos!K18+Datos!AE18)),IF(D_I="SI",Datos!K18,Datos!K18+Datos!AE18)," - ")</f>
        <v>43</v>
      </c>
      <c r="H18" s="403">
        <f>IF(ISNUMBER(G18/B18),G18/B18," - ")</f>
        <v>43</v>
      </c>
      <c r="I18" s="402">
        <f>IF(ISNUMBER(IF(D_I="SI",Datos!L18,Datos!L18+Datos!AF18)),IF(D_I="SI",Datos!L18,Datos!L18+Datos!AF18)," - ")</f>
        <v>5</v>
      </c>
      <c r="J18" s="403">
        <f>IF(ISNUMBER(I18/B18),I18/B18," - ")</f>
        <v>5</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3</v>
      </c>
      <c r="C19" s="846">
        <f>SUBTOTAL(9,C14:C18)</f>
        <v>285</v>
      </c>
      <c r="D19" s="847" t="str">
        <f>IF(ISNUMBER(C19/Datos!BI19),C19/Datos!BI19," - ")</f>
        <v xml:space="preserve"> - </v>
      </c>
      <c r="E19" s="846">
        <f>SUBTOTAL(9,E14:E18)</f>
        <v>843</v>
      </c>
      <c r="F19" s="847">
        <f>IF(ISNUMBER(E19/B19),E19/B19," - ")</f>
        <v>281</v>
      </c>
      <c r="G19" s="846">
        <f>SUBTOTAL(9,G14:G18)</f>
        <v>680</v>
      </c>
      <c r="H19" s="847">
        <f>IF(ISNUMBER(G19/B19),G19/B19," - ")</f>
        <v>226.66666666666666</v>
      </c>
      <c r="I19" s="846">
        <f>SUBTOTAL(9,I14:I18)</f>
        <v>470</v>
      </c>
      <c r="J19" s="847">
        <f>IF(ISNUMBER(I19/B19),I19/B19," - ")</f>
        <v>156.66666666666666</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3</v>
      </c>
      <c r="C20" s="791">
        <f>SUBTOTAL(9,C9:C19)</f>
        <v>1220</v>
      </c>
      <c r="D20" s="792" t="str">
        <f>IF(ISNUMBER(C20/Datos!BI20),C20/Datos!BI20," - ")</f>
        <v xml:space="preserve"> - </v>
      </c>
      <c r="E20" s="791">
        <f>SUBTOTAL(9,E9:E19)</f>
        <v>1570</v>
      </c>
      <c r="F20" s="792">
        <f>IF(ISNUMBER(E20/B20),E20/B20," - ")</f>
        <v>523.33333333333337</v>
      </c>
      <c r="G20" s="791">
        <f>SUBTOTAL(9,G9:G19)</f>
        <v>1221</v>
      </c>
      <c r="H20" s="792">
        <f>IF(ISNUMBER(G20/B20),G20/B20," - ")</f>
        <v>407</v>
      </c>
      <c r="I20" s="791">
        <f>SUBTOTAL(9,I9:I19)</f>
        <v>1591</v>
      </c>
      <c r="J20" s="792">
        <f>IF(ISNUMBER(I20/B20),I20/B20," - ")</f>
        <v>530.33333333333337</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x6qm6nOSDZmg+rwaRyAhQtNRG5/dgpC1c4pP47HWAlzqS8O8rcdtKvvCLd3Ua2nfqksXfFH6CsTd24ytZH6/Dw==" saltValue="5EyUZnIJj4h4enabqW3+PA=="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ARAGON</v>
      </c>
      <c r="W1"/>
      <c r="X1"/>
    </row>
    <row r="2" spans="1:78" ht="16.5" customHeight="1">
      <c r="C2" s="487" t="str">
        <f>Criterios!A10 &amp;"  "&amp;Criterios!B10 &amp; "  " &amp; IF(NOT(ISBLANK(Criterios!A11)),Criterios!A11 &amp;"  "&amp;Criterios!B11,"")</f>
        <v>Provincias  TERUEL  Resumenes por Partidos Judiciales  TERUEL</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4</v>
      </c>
      <c r="G10" s="681">
        <f>IF(ISNUMBER(Datos!I10),Datos!I10," - ")</f>
        <v>4</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1</v>
      </c>
      <c r="AC10" s="680" t="str">
        <f>IF(ISNUMBER(IF(D_I="SI",DatosP!K18,DatosP!K18+DatosP!AE18)),IF(D_I="SI",DatosP!K18,DatosP!K18+DatosP!AE18)," - ")</f>
        <v xml:space="preserve"> - </v>
      </c>
      <c r="AD10" s="682"/>
      <c r="AE10" s="682"/>
      <c r="AF10" s="685">
        <f>IF(ISNUMBER(Datos!L10),Datos!L10,"-")</f>
        <v>4</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1</v>
      </c>
      <c r="AM10" s="687">
        <f>IF(ISNUMBER(Datos!N10+DatosP!N18),Datos!N10+DatosP!N18," - ")</f>
        <v>0</v>
      </c>
      <c r="AN10" s="687">
        <f>IF(ISNUMBER(Datos!BW10+DatosP!BW18),Datos!BW10+DatosP!BW18," - ")</f>
        <v>0</v>
      </c>
      <c r="AO10" s="688">
        <f>IF(ISNUMBER(Datos!BX10+DatosP!BX18),Datos!BX10+DatosP!BX18," - ")</f>
        <v>0</v>
      </c>
      <c r="AP10" s="690">
        <f>IF(ISNUMBER(((Datos!L10/Datos!K10)*11)/factor_trimestre),((Datos!L10/Datos!K10)*11)/factor_trimestre," - ")</f>
        <v>12</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3</v>
      </c>
      <c r="B12" s="506" t="s">
        <v>247</v>
      </c>
      <c r="C12" s="7" t="str">
        <f>Datos!A12</f>
        <v xml:space="preserve">Sección Civil y de Inst. TI                      </v>
      </c>
      <c r="D12" s="507"/>
      <c r="E12" s="679">
        <f>IF(ISNUMBER(Datos!AQ12),Datos!AQ12," - ")</f>
        <v>3</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150</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38</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1684</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156</v>
      </c>
      <c r="AM12" s="687">
        <f>IF(ISNUMBER(Datos!N12+DatosP!N17),Datos!N12+DatosP!N17," - ")</f>
        <v>173</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6.2055555555555557</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7.124681933842239E-2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3</v>
      </c>
      <c r="F13" s="933">
        <f t="shared" si="0"/>
        <v>4</v>
      </c>
      <c r="G13" s="933">
        <f t="shared" si="0"/>
        <v>4</v>
      </c>
      <c r="H13" s="933">
        <f t="shared" si="0"/>
        <v>0</v>
      </c>
      <c r="I13" s="935">
        <f t="shared" si="0"/>
        <v>0</v>
      </c>
      <c r="J13" s="934">
        <f t="shared" si="0"/>
        <v>0</v>
      </c>
      <c r="K13" s="934">
        <f t="shared" si="0"/>
        <v>0</v>
      </c>
      <c r="L13" s="936">
        <f t="shared" si="0"/>
        <v>0</v>
      </c>
      <c r="M13" s="936">
        <f t="shared" si="0"/>
        <v>0</v>
      </c>
      <c r="N13" s="934">
        <f t="shared" si="0"/>
        <v>150</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1</v>
      </c>
      <c r="AC13" s="934">
        <f t="shared" si="1"/>
        <v>0</v>
      </c>
      <c r="AD13" s="934">
        <f t="shared" si="1"/>
        <v>38</v>
      </c>
      <c r="AE13" s="934">
        <f t="shared" si="1"/>
        <v>0</v>
      </c>
      <c r="AF13" s="934">
        <f t="shared" si="1"/>
        <v>4</v>
      </c>
      <c r="AG13" s="934">
        <f t="shared" si="1"/>
        <v>0</v>
      </c>
      <c r="AH13" s="934">
        <f t="shared" si="1"/>
        <v>1684</v>
      </c>
      <c r="AI13" s="934">
        <f t="shared" si="1"/>
        <v>0</v>
      </c>
      <c r="AJ13" s="934">
        <f t="shared" si="1"/>
        <v>0</v>
      </c>
      <c r="AK13" s="934">
        <f t="shared" si="1"/>
        <v>0</v>
      </c>
      <c r="AL13" s="934">
        <f t="shared" si="1"/>
        <v>157</v>
      </c>
      <c r="AM13" s="934">
        <f t="shared" si="1"/>
        <v>173</v>
      </c>
      <c r="AN13" s="934">
        <f t="shared" si="1"/>
        <v>0</v>
      </c>
      <c r="AO13" s="934">
        <f t="shared" si="1"/>
        <v>0</v>
      </c>
      <c r="AP13" s="939">
        <f>IF(ISNUMBER(((Datos!L13/Datos!K13)*11)/factor_trimestre),((Datos!L13/Datos!K13)*11)/factor_trimestre," - ")</f>
        <v>6.018518518518519</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-0.25</v>
      </c>
      <c r="AU13" s="934" t="str">
        <f>IF(ISNUMBER((DatosP!#REF!-DatosP!#REF!+DatosP!#REF!)/(DatosP!#REF!+DatosP!#REF!-DatosP!#REF!-DatosP!#REF!)),(DatosP!#REF!-DatosP!#REF!+DatosP!#REF!)/(DatosP!#REF!+DatosP!#REF!-DatosP!#REF!-DatosP!#REF!)," - ")</f>
        <v xml:space="preserve"> - </v>
      </c>
      <c r="AV13" s="940">
        <f>SUBTOTAL(9,AV9:AV12)</f>
        <v>7.124681933842239E-2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3</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2.0735294117647061</v>
      </c>
      <c r="AQ19" s="939">
        <f>IF(ISNUMBER(((Datos!M19/Datos!L19)*11)/factor_trimestre),((Datos!M19/Datos!L19)*11)/factor_trimestre," - ")</f>
        <v>0.63191489361702124</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-6.4935064935064929E-2</v>
      </c>
      <c r="AW19" s="941">
        <f>IF(ISNUMBER((Datos!Q19-Datos!R19)/(Datos!S19-Datos!Q19+Datos!R19)),(Datos!Q19-Datos!R19)/(Datos!S19-Datos!Q19+Datos!R19)," - ")</f>
        <v>-0.15404699738903394</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3</v>
      </c>
      <c r="F20" s="946">
        <f t="shared" si="4"/>
        <v>4</v>
      </c>
      <c r="G20" s="946">
        <f t="shared" si="4"/>
        <v>4</v>
      </c>
      <c r="H20" s="946">
        <f t="shared" si="4"/>
        <v>0</v>
      </c>
      <c r="I20" s="947">
        <f t="shared" si="4"/>
        <v>0</v>
      </c>
      <c r="J20" s="948">
        <f t="shared" si="4"/>
        <v>0</v>
      </c>
      <c r="K20" s="948">
        <f t="shared" si="4"/>
        <v>0</v>
      </c>
      <c r="L20" s="948">
        <f t="shared" si="4"/>
        <v>0</v>
      </c>
      <c r="M20" s="948">
        <f t="shared" si="4"/>
        <v>0</v>
      </c>
      <c r="N20" s="947">
        <f t="shared" si="4"/>
        <v>150</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1</v>
      </c>
      <c r="AC20" s="952">
        <f t="shared" si="5"/>
        <v>0</v>
      </c>
      <c r="AD20" s="952">
        <f t="shared" si="5"/>
        <v>38</v>
      </c>
      <c r="AE20" s="952">
        <f t="shared" si="5"/>
        <v>0</v>
      </c>
      <c r="AF20" s="953">
        <f t="shared" si="5"/>
        <v>4</v>
      </c>
      <c r="AG20" s="953">
        <f t="shared" si="5"/>
        <v>0</v>
      </c>
      <c r="AH20" s="953">
        <f t="shared" si="5"/>
        <v>1684</v>
      </c>
      <c r="AI20" s="953">
        <f t="shared" si="5"/>
        <v>0</v>
      </c>
      <c r="AJ20" s="954">
        <f t="shared" si="5"/>
        <v>0</v>
      </c>
      <c r="AK20" s="954">
        <f t="shared" si="5"/>
        <v>0</v>
      </c>
      <c r="AL20" s="946">
        <f t="shared" si="5"/>
        <v>157</v>
      </c>
      <c r="AM20" s="946">
        <f t="shared" si="5"/>
        <v>173</v>
      </c>
      <c r="AN20" s="946">
        <f t="shared" si="5"/>
        <v>0</v>
      </c>
      <c r="AO20" s="946">
        <f t="shared" si="5"/>
        <v>0</v>
      </c>
      <c r="AP20" s="946">
        <f>IF(ISNUMBER(((Datos!L20/Datos!K20)*11)/factor_trimestre),((Datos!L20/Datos!K20)*11)/factor_trimestre," - ")</f>
        <v>3.717838765008576</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-0.25</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6.4769975786924935E-2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2.6666666666666665</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1.5491933384829668</v>
      </c>
      <c r="F22" s="733">
        <f>IF(ISNUMBER(STDEV(F8:F19)),STDEV(F8:F19),"-")</f>
        <v>2.3094010767585034</v>
      </c>
      <c r="G22" s="734">
        <f>IF(ISNUMBER(STDEV(G8:G19)),STDEV(G8:G19),"-")</f>
        <v>2.3094010767585034</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0.57735026918962584</v>
      </c>
      <c r="AC22" s="735">
        <f>IF(ISNUMBER(STDEV(AC8:AC19)),STDEV(AC8:AC19),"-")</f>
        <v>0</v>
      </c>
      <c r="AD22" s="738"/>
      <c r="AE22" s="738"/>
      <c r="AF22" s="738"/>
      <c r="AG22" s="738"/>
      <c r="AH22" s="738"/>
      <c r="AI22" s="738"/>
      <c r="AJ22" s="739">
        <f>IF(ISNUMBER(STDEV(AJ8:AJ19)),STDEV(AJ8:AJ19),"-")</f>
        <v>0</v>
      </c>
      <c r="AK22" s="741"/>
      <c r="AL22" s="733">
        <f>IF(ISNUMBER(STDEV(AL8:AL19)),STDEV(AL8:AL19),"-")</f>
        <v>90.068492456204311</v>
      </c>
      <c r="AM22" s="733"/>
      <c r="AN22" s="733">
        <f>IF(ISNUMBER(STDEV(AN8:AN19)),STDEV(AN8:AN19),"-")</f>
        <v>0</v>
      </c>
      <c r="AO22" s="739">
        <f>IF(ISNUMBER(STDEV(AO8:AO19)),STDEV(AO8:AO19),"-")</f>
        <v>0</v>
      </c>
      <c r="AP22" s="776">
        <f>IF(ISNUMBER(STDEV(AP8:AP19)),STDEV(AP8:AP19),"-")</f>
        <v>4.0881952765529697</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hSvxtAA2jN4CJSnCHFhL/uOMBVf7s/wis/dRw3yPdg0htHJYi3gXOWiLGiClbGX9BBjaLdfaD3RL96jiLUBzIw==" saltValue="2zVUIh/Q0qPBSEKsWuMeM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ARAGON</v>
      </c>
    </row>
    <row r="2" spans="1:168" ht="16.5" customHeight="1">
      <c r="C2" s="487" t="str">
        <f>Criterios!A10 &amp;"  "&amp;Criterios!B10 &amp; "  " &amp; IF(NOT(ISBLANK(Criterios!A11)),Criterios!A11 &amp;"  "&amp;Criterios!B11,"")</f>
        <v>Provincias  TERUEL  Resumenes por Partidos Judiciales  TERUEL</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239.62036239904683</v>
      </c>
      <c r="CF9" s="228">
        <f ca="1">AVERAGEIFS($AB:$AB,$BW:$BW,BW9,$BX:$BX,BX9)</f>
        <v>239.62036239904683</v>
      </c>
      <c r="CG9" s="1191">
        <v>0.7</v>
      </c>
      <c r="CH9" s="1191">
        <f ca="1">AVERAGEIF($BW:$BW,$BW9,$AC:$AC)</f>
        <v>15.3</v>
      </c>
      <c r="CI9" s="228">
        <f ca="1">AVERAGEIFS($AC:$AC,$BW:$BW,$BW9,$BX:$BX,$BX9)</f>
        <v>15.3</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158</v>
      </c>
      <c r="CR9" s="228">
        <f ca="1">AVERAGEIFS($AF:$AF,$BW:$BW,BW9,$BX:$BX,BX9)</f>
        <v>158</v>
      </c>
      <c r="CS9" s="1191">
        <v>1.3</v>
      </c>
      <c r="CT9" s="1191">
        <v>1.5</v>
      </c>
      <c r="CU9" s="1191">
        <f ca="1">AVERAGEIF($BW:$BW,$BW9,$AH:$AH)</f>
        <v>62.571428571428569</v>
      </c>
      <c r="CV9" s="228">
        <f ca="1">AVERAGEIFS($AH:$AH,$BW:$BW,$BW9,$BX:$BX,$BX9)</f>
        <v>62.571428571428569</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527.70000000000005</v>
      </c>
      <c r="DH9" s="1218">
        <f ca="1">AVERAGEIFS($AM:$AM,$BW:$BW,$BW9,$BX:$BX,$BX9)</f>
        <v>527.70000000000005</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3.34379430225257</v>
      </c>
      <c r="ER9" s="1218">
        <f ca="1">AVERAGEIFS($BH:$BH,$BW:$BW,$BW9,$BX:$BX,$BX9)</f>
        <v>3.34379430225257</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4</v>
      </c>
      <c r="G10" s="332">
        <f>IF(ISNUMBER(Datos!I10),Datos!I10," - ")</f>
        <v>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1</v>
      </c>
      <c r="AC10" s="224">
        <f>IF(ISNUMBER(Datos!Q10),Datos!Q10," - ")</f>
        <v>0</v>
      </c>
      <c r="AD10" s="224"/>
      <c r="AE10" s="224"/>
      <c r="AF10" s="224">
        <f>IF(ISNUMBER(Datos!L10),Datos!L10,"-")</f>
        <v>4</v>
      </c>
      <c r="AG10" s="333"/>
      <c r="AH10" s="224"/>
      <c r="AI10" s="224"/>
      <c r="AJ10" s="1214"/>
      <c r="AK10" s="333"/>
      <c r="AL10" s="478"/>
      <c r="AM10" s="1214">
        <f>IF(ISNUMBER(Datos!R10),Datos!R10," - ")</f>
        <v>3</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1</v>
      </c>
      <c r="BD10" s="228">
        <f>IF(ISNUMBER(Datos!N10),Datos!N10," - ")</f>
        <v>0</v>
      </c>
      <c r="BE10" s="1214" t="str">
        <f>IF(ISNUMBER(Datos!BW10),Datos!BW10," - ")</f>
        <v xml:space="preserve"> - </v>
      </c>
      <c r="BF10" s="1214" t="str">
        <f>IF(ISNUMBER(Datos!BX10),Datos!BX10," - ")</f>
        <v xml:space="preserve"> - </v>
      </c>
      <c r="BG10" s="242">
        <f>IF(ISNUMBER(Datos!K10/Datos!J10),Datos!K10/Datos!J10," - ")</f>
        <v>1</v>
      </c>
      <c r="BH10" s="1214">
        <f>IF(ISNUMBER(((Datos!L10/Datos!K10)*11)/factor_trimestre),((Datos!L10/Datos!K10)*11)/factor_trimestre," - ")</f>
        <v>12</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239.62036239904683</v>
      </c>
      <c r="CF10" s="228">
        <f ca="1">AVERAGEIFS($AB:$AB,$BW:$BW,BW10,$BX:$BX,BX10)</f>
        <v>239.62036239904683</v>
      </c>
      <c r="CG10" s="1191">
        <v>0.7</v>
      </c>
      <c r="CH10" s="1191">
        <f ca="1">AVERAGEIF($BW:$BW,BW10,$AC:$AC)</f>
        <v>15.3</v>
      </c>
      <c r="CI10" s="228">
        <f ca="1">AVERAGEIFS($AC:$AC,$BW:$BW,BW10,$BX:$BX,BX10)</f>
        <v>15.3</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158</v>
      </c>
      <c r="CR10" s="228">
        <f ca="1">AVERAGEIFS($AF:$AF,$BW:$BW,BW10,$BX:$BX,BX10)</f>
        <v>158</v>
      </c>
      <c r="CS10" s="1191">
        <v>1.3</v>
      </c>
      <c r="CT10" s="1191">
        <v>1.5</v>
      </c>
      <c r="CU10" s="1191">
        <f ca="1">AVERAGEIF($BW:$BW,$BW10,$AH:$AH)</f>
        <v>62.571428571428569</v>
      </c>
      <c r="CV10" s="228">
        <f ca="1">AVERAGEIFS($AH:$AH,$BW:$BW,$BW10,$BX:$BX,$BX10)</f>
        <v>62.571428571428569</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527.70000000000005</v>
      </c>
      <c r="DH10" s="1218">
        <f ca="1">AVERAGEIFS($AM:$AM,$BW:$BW,$BW10,$BX:$BX,$BX10)</f>
        <v>527.70000000000005</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3.34379430225257</v>
      </c>
      <c r="ER10" s="1218">
        <f ca="1">AVERAGEIFS($BH:$BH,$BW:$BW,$BW10,$BX:$BX,$BX10)</f>
        <v>3.34379430225257</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239.62036239904683</v>
      </c>
      <c r="CF11" s="228">
        <f ca="1">AVERAGEIFS($AB:$AB,$BW:$BW,BW11,$BX:$BX,BX11)</f>
        <v>239.62036239904683</v>
      </c>
      <c r="CG11" s="1191">
        <v>0.7</v>
      </c>
      <c r="CH11" s="1191">
        <f ca="1">AVERAGEIF($BW:$BW,BW11,$AC:$AC)</f>
        <v>15.3</v>
      </c>
      <c r="CI11" s="228">
        <f ca="1">AVERAGEIFS($AC:$AC,$BW:$BW,BW11,$BX:$BX,BX11)</f>
        <v>15.3</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158</v>
      </c>
      <c r="CR11" s="228">
        <f ca="1">AVERAGEIFS($AF:$AF,$BW:$BW,BW11,$BX:$BX,BX11)</f>
        <v>158</v>
      </c>
      <c r="CS11" s="1191">
        <v>1.3</v>
      </c>
      <c r="CT11" s="1191">
        <v>1.5</v>
      </c>
      <c r="CU11" s="1191">
        <f ca="1">AVERAGEIF($BW:$BW,$BW11,$AH:$AH)</f>
        <v>62.571428571428569</v>
      </c>
      <c r="CV11" s="228">
        <f ca="1">AVERAGEIFS($AH:$AH,$BW:$BW,$BW11,$BX:$BX,$BX11)</f>
        <v>62.571428571428569</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527.70000000000005</v>
      </c>
      <c r="DH11" s="1218">
        <f ca="1">AVERAGEIFS($AM:$AM,$BW:$BW,$BW11,$BX:$BX,$BX11)</f>
        <v>527.70000000000005</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3.34379430225257</v>
      </c>
      <c r="ER11" s="1218">
        <f ca="1">AVERAGEIFS($BH:$BH,$BW:$BW,$BW11,$BX:$BX,$BX11)</f>
        <v>3.34379430225257</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3</v>
      </c>
      <c r="B12" s="506" t="s">
        <v>247</v>
      </c>
      <c r="C12" s="7" t="str">
        <f>Datos!A12</f>
        <v xml:space="preserve">Sección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57</v>
      </c>
      <c r="O12" s="333"/>
      <c r="P12" s="333"/>
      <c r="Q12" s="225">
        <f>IF(ISNUMBER(Datos!P12),Datos!P12,0)</f>
        <v>150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38</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146</v>
      </c>
      <c r="AI12" s="224" t="str">
        <f>IF(ISNUMBER(Datos!CD12),Datos!CD12,"-")</f>
        <v>-</v>
      </c>
      <c r="AJ12" s="1214" t="str">
        <f>IF(ISNUMBER(Datos!EN12),Datos!EN12," - ")</f>
        <v xml:space="preserve"> - </v>
      </c>
      <c r="AK12" s="333"/>
      <c r="AL12" s="478"/>
      <c r="AM12" s="1214">
        <f>IF(ISNUMBER(Datos!R12),Datos!R12," - ")</f>
        <v>1684</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156</v>
      </c>
      <c r="BD12" s="228">
        <f>IF(ISNUMBER(Datos!N12),Datos!N12," - ")</f>
        <v>173</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0.74380165289256195</v>
      </c>
      <c r="BH12" s="1214">
        <f>IF(ISNUMBER(((IF(J_V="SI",Datos!L12/Datos!K12,(Datos!L12+Datos!AB12)/(Datos!K12+Datos!AA12)))*11)/factor_trimestre),((IF(J_V="SI",Datos!L12/Datos!K12,(Datos!L12+Datos!AB12)/(Datos!K12+Datos!AA12)))*11)/factor_trimestre," - ")</f>
        <v>6.2055555555555557</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7.124681933842239E-2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239.62036239904683</v>
      </c>
      <c r="CF12" s="228">
        <f ca="1">AVERAGEIFS($AB:$AB,$BW:$BW,BW12,$BX:$BX,BX12)</f>
        <v>239.62036239904683</v>
      </c>
      <c r="CG12" s="1191">
        <v>0.7</v>
      </c>
      <c r="CH12" s="1191">
        <f ca="1">AVERAGEIF($BW:$BW,BW12,$AC:$AC)</f>
        <v>15.3</v>
      </c>
      <c r="CI12" s="228">
        <f ca="1">AVERAGEIFS($AC:$AC,$BW:$BW,BW12,$BX:$BX,BX12)</f>
        <v>15.3</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158</v>
      </c>
      <c r="CR12" s="228">
        <f ca="1">AVERAGEIFS($AF:$AF,$BW:$BW,BW12,$BX:$BX,BX12)</f>
        <v>158</v>
      </c>
      <c r="CS12" s="1191">
        <v>1.3</v>
      </c>
      <c r="CT12" s="1191">
        <v>1.5</v>
      </c>
      <c r="CU12" s="1191">
        <f ca="1">AVERAGEIF($BW:$BW,$BW12,$AH:$AH)</f>
        <v>62.571428571428569</v>
      </c>
      <c r="CV12" s="228">
        <f ca="1">AVERAGEIFS($AH:$AH,$BW:$BW,$BW12,$BX:$BX,$BX12)</f>
        <v>62.571428571428569</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527.70000000000005</v>
      </c>
      <c r="DH12" s="1218">
        <f ca="1">AVERAGEIFS($AM:$AM,$BW:$BW,$BW12,$BX:$BX,$BX12)</f>
        <v>527.70000000000005</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3.34379430225257</v>
      </c>
      <c r="ER12" s="1218">
        <f ca="1">AVERAGEIFS($BH:$BH,$BW:$BW,$BW12,$BX:$BX,$BX12)</f>
        <v>3.34379430225257</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3</v>
      </c>
      <c r="F13" s="895">
        <f t="shared" si="1"/>
        <v>4</v>
      </c>
      <c r="G13" s="895">
        <f t="shared" si="1"/>
        <v>4</v>
      </c>
      <c r="H13" s="896">
        <f t="shared" si="1"/>
        <v>0</v>
      </c>
      <c r="I13" s="895">
        <f t="shared" si="1"/>
        <v>0</v>
      </c>
      <c r="J13" s="864">
        <f t="shared" si="1"/>
        <v>0</v>
      </c>
      <c r="K13" s="864">
        <f t="shared" si="1"/>
        <v>0</v>
      </c>
      <c r="L13" s="896">
        <f t="shared" si="1"/>
        <v>0</v>
      </c>
      <c r="M13" s="896">
        <f t="shared" si="1"/>
        <v>0</v>
      </c>
      <c r="N13" s="896">
        <f t="shared" si="1"/>
        <v>57</v>
      </c>
      <c r="O13" s="897">
        <f t="shared" si="1"/>
        <v>0</v>
      </c>
      <c r="P13" s="897">
        <f t="shared" si="1"/>
        <v>0</v>
      </c>
      <c r="Q13" s="896">
        <f t="shared" si="1"/>
        <v>150</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1</v>
      </c>
      <c r="AC13" s="896">
        <f t="shared" si="2"/>
        <v>38</v>
      </c>
      <c r="AD13" s="896">
        <f t="shared" si="2"/>
        <v>0</v>
      </c>
      <c r="AE13" s="896">
        <f t="shared" si="2"/>
        <v>0</v>
      </c>
      <c r="AF13" s="896">
        <f t="shared" si="2"/>
        <v>4</v>
      </c>
      <c r="AG13" s="896">
        <f t="shared" si="2"/>
        <v>0</v>
      </c>
      <c r="AH13" s="896">
        <f t="shared" si="2"/>
        <v>146</v>
      </c>
      <c r="AI13" s="896">
        <f t="shared" si="2"/>
        <v>0</v>
      </c>
      <c r="AJ13" s="896">
        <f t="shared" si="2"/>
        <v>0</v>
      </c>
      <c r="AK13" s="896">
        <f t="shared" si="2"/>
        <v>0</v>
      </c>
      <c r="AL13" s="896">
        <f t="shared" si="2"/>
        <v>0</v>
      </c>
      <c r="AM13" s="896">
        <f t="shared" si="2"/>
        <v>1687</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157</v>
      </c>
      <c r="BD13" s="896">
        <f t="shared" si="2"/>
        <v>173</v>
      </c>
      <c r="BE13" s="896">
        <f t="shared" si="2"/>
        <v>0</v>
      </c>
      <c r="BF13" s="896">
        <f t="shared" si="2"/>
        <v>0</v>
      </c>
      <c r="BG13" s="896">
        <f>IF(ISNUMBER(Datos!K13/Datos!J13),Datos!K13/Datos!J13," - ")</f>
        <v>0.72537313432835826</v>
      </c>
      <c r="BH13" s="900">
        <f>IF(ISNUMBER(((Datos!L13/Datos!K13)*11)/factor_trimestre),((Datos!L13/Datos!K13)*11)/factor_trimestre," - ")</f>
        <v>6.018518518518519</v>
      </c>
      <c r="BI13" s="896">
        <f>IF(ISNUMBER('Resol  Asuntos'!D13/NºAsuntos!G13),'Resol  Asuntos'!D13/NºAsuntos!G13," - ")</f>
        <v>0.29020332717190389</v>
      </c>
      <c r="BJ13" s="896" t="str">
        <f>IF(ISNUMBER(Datos!CI13/Datos!CJ13),Datos!CI13/Datos!CJ13," - ")</f>
        <v xml:space="preserve"> - </v>
      </c>
      <c r="BK13" s="896">
        <f>SUBTOTAL(9,BK8:BK12)</f>
        <v>0</v>
      </c>
      <c r="BL13" s="896">
        <f>IF(ISNUMBER((I13-AB13+L13)/(F13)),(I13-AB13+L13)/(F13)," - ")</f>
        <v>-0.25</v>
      </c>
      <c r="BM13" s="901">
        <f>SUBTOTAL(9,BM9:BM12)</f>
        <v>7.124681933842239E-2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239.62036239904683</v>
      </c>
      <c r="CF15" s="228">
        <f ca="1">AVERAGEIFS($AB:$AB,$BW:$BW,BW15,$BX:$BX,BX15)</f>
        <v>239.62036239904683</v>
      </c>
      <c r="CG15" s="1191">
        <v>0.7</v>
      </c>
      <c r="CH15" s="1191">
        <f ca="1">AVERAGEIF($BW:$BW,BW15,$AC:$AC)</f>
        <v>15.3</v>
      </c>
      <c r="CI15" s="228">
        <f ca="1">AVERAGEIFS($AC:$AC,$BW:$BW,BW15,$BX:$BX,BX15)</f>
        <v>15.3</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158</v>
      </c>
      <c r="CR15" s="228">
        <f ca="1">AVERAGEIFS($AF:$AF,$BW:$BW,BW15,$BX:$BX,BX15)</f>
        <v>158</v>
      </c>
      <c r="CS15" s="1191">
        <v>1.3</v>
      </c>
      <c r="CT15" s="1191">
        <v>1.5</v>
      </c>
      <c r="CU15" s="1191">
        <f ca="1">AVERAGEIF($BW:$BW,$BW15,$AH:$AH)</f>
        <v>62.571428571428569</v>
      </c>
      <c r="CV15" s="228">
        <f ca="1">AVERAGEIFS($AH:$AH,$BW:$BW,$BW15,$BX:$BX,$BX15)</f>
        <v>62.571428571428569</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527.70000000000005</v>
      </c>
      <c r="DH15" s="1218">
        <f ca="1">AVERAGEIFS($AM:$AM,$BW:$BW,$BW15,$BX:$BX,$BX15)</f>
        <v>527.70000000000005</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3.34379430225257</v>
      </c>
      <c r="ER15" s="1218">
        <f ca="1">AVERAGEIFS($BH:$BH,$BW:$BW,$BW15,$BX:$BX,$BX15)</f>
        <v>3.34379430225257</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239.62036239904683</v>
      </c>
      <c r="CF16" s="1218">
        <f ca="1">AVERAGEIFS($AB:$AB,$BW:$BW,BW16,$BX:$BX,BX16)</f>
        <v>239.62036239904683</v>
      </c>
      <c r="CG16" s="1191">
        <v>0.7</v>
      </c>
      <c r="CH16" s="1191">
        <f ca="1">AVERAGEIF($BW:$BW,BW16,$AC:$AC)</f>
        <v>15.3</v>
      </c>
      <c r="CI16" s="1218">
        <f ca="1">AVERAGEIFS($AC:$AC,$BW:$BW,BW16,$BX:$BX,BX16)</f>
        <v>15.3</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158</v>
      </c>
      <c r="CR16" s="1218">
        <f ca="1">AVERAGEIFS($AF:$AF,$BW:$BW,BW16,$BX:$BX,BX16)</f>
        <v>158</v>
      </c>
      <c r="CS16" s="1191">
        <v>1.3</v>
      </c>
      <c r="CT16" s="1191">
        <v>1.5</v>
      </c>
      <c r="CU16" s="1191">
        <f ca="1">AVERAGEIF($BW:$BW,$BW16,$AH:$AH)</f>
        <v>62.571428571428569</v>
      </c>
      <c r="CV16" s="1218">
        <f ca="1">AVERAGEIFS($AH:$AH,$BW:$BW,$BW16,$BX:$BX,$BX16)</f>
        <v>62.571428571428569</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527.70000000000005</v>
      </c>
      <c r="DH16" s="1218">
        <f ca="1">AVERAGEIFS($AM:$AM,$BW:$BW,$BW16,$BX:$BX,$BX16)</f>
        <v>527.70000000000005</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3.34379430225257</v>
      </c>
      <c r="ER16" s="1218">
        <f ca="1">AVERAGEIFS($BH:$BH,$BW:$BW,$BW16,$BX:$BX,$BX16)</f>
        <v>3.34379430225257</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3</v>
      </c>
      <c r="B17" s="593" t="s">
        <v>397</v>
      </c>
      <c r="C17" s="598" t="str">
        <f>Datos!A17</f>
        <v xml:space="preserve">Sección Civil y de Inst. TI                      </v>
      </c>
      <c r="D17" s="599"/>
      <c r="E17" s="1160">
        <f>IF(ISNUMBER(Datos!AQ17),Datos!AQ17," - ")</f>
        <v>3</v>
      </c>
      <c r="F17" s="594">
        <f>IF(ISNUMBER(AF17+AB17-Datos!J17-L17),AF17+AB17-Datos!J17-L17," - ")</f>
        <v>297</v>
      </c>
      <c r="G17" s="596">
        <f>IF(ISNUMBER(IF(D_I="SI",Datos!I17,Datos!I17+Datos!AC17)),IF(D_I="SI",Datos!I17,Datos!I17+Datos!AC17)," - ")</f>
        <v>279</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8</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637</v>
      </c>
      <c r="AC17" s="224">
        <f>IF(ISNUMBER(Datos!Q17),Datos!Q17," - ")</f>
        <v>13</v>
      </c>
      <c r="AD17" s="224"/>
      <c r="AE17" s="224"/>
      <c r="AF17" s="224">
        <f>IF(ISNUMBER(IF(D_I="SI",Datos!L17,Datos!L17+Datos!AF17)),IF(D_I="SI",Datos!L17,Datos!L17+Datos!AF17)," - ")</f>
        <v>465</v>
      </c>
      <c r="AG17" s="333"/>
      <c r="AH17" s="224"/>
      <c r="AI17" s="224"/>
      <c r="AJ17" s="1214"/>
      <c r="AK17" s="333"/>
      <c r="AL17" s="478"/>
      <c r="AM17" s="1214">
        <f>IF(ISNUMBER(Datos!R17),Datos!R17," - ")</f>
        <v>67</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74</v>
      </c>
      <c r="BD17" s="228">
        <f>IF(ISNUMBER(Datos!N17),Datos!N17," - ")</f>
        <v>448</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0.79130434782608694</v>
      </c>
      <c r="BH17" s="1214">
        <f>IF(ISNUMBER(((IF(D_I="SI",Datos!L17/Datos!K17,(Datos!L17+Datos!AF17)/(Datos!K17+Datos!AE17)))*11)/factor_trimestre),((IF(D_I="SI",Datos!L17/Datos!K17,(Datos!L17+Datos!AF17)/(Datos!K17+Datos!AE17)))*11)/factor_trimestre," - ")</f>
        <v>2.1899529042386185</v>
      </c>
      <c r="BI17" s="242">
        <f>IF(ISNUMBER('Resol  Asuntos'!D17/NºAsuntos!G17),'Resol  Asuntos'!D17/NºAsuntos!G17," - ")</f>
        <v>0.11616954474097331</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239.62036239904683</v>
      </c>
      <c r="CF17" s="228">
        <f ca="1">AVERAGEIFS($AB:$AB,$BW:$BW,BW17,$BX:$BX,BX17)</f>
        <v>239.62036239904683</v>
      </c>
      <c r="CG17" s="1191">
        <v>0.7</v>
      </c>
      <c r="CH17" s="1191">
        <f ca="1">AVERAGEIF($BW:$BW,BW17,$AC:$AC)</f>
        <v>15.3</v>
      </c>
      <c r="CI17" s="228">
        <f ca="1">AVERAGEIFS($AC:$AC,$BW:$BW,BW17,$BX:$BX,BX17)</f>
        <v>15.3</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158</v>
      </c>
      <c r="CR17" s="228">
        <f ca="1">AVERAGEIFS($AF:$AF,$BW:$BW,BW17,$BX:$BX,BX17)</f>
        <v>158</v>
      </c>
      <c r="CS17" s="1191">
        <v>1.3</v>
      </c>
      <c r="CT17" s="1191">
        <v>1.5</v>
      </c>
      <c r="CU17" s="1191">
        <f ca="1">AVERAGEIF($BW:$BW,$BW17,$AH:$AH)</f>
        <v>62.571428571428569</v>
      </c>
      <c r="CV17" s="228">
        <f ca="1">AVERAGEIFS($AH:$AH,$BW:$BW,$BW17,$BX:$BX,$BX17)</f>
        <v>62.571428571428569</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527.70000000000005</v>
      </c>
      <c r="DH17" s="1218">
        <f ca="1">AVERAGEIFS($AM:$AM,$BW:$BW,$BW17,$BX:$BX,$BX17)</f>
        <v>527.70000000000005</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3.34379430225257</v>
      </c>
      <c r="ER17" s="1218">
        <f ca="1">AVERAGEIFS($BH:$BH,$BW:$BW,$BW17,$BX:$BX,$BX17)</f>
        <v>3.34379430225257</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6</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43</v>
      </c>
      <c r="AC18" s="224">
        <f>IF(ISNUMBER(Datos!Q18),Datos!Q18," - ")</f>
        <v>0</v>
      </c>
      <c r="AD18" s="224"/>
      <c r="AE18" s="224"/>
      <c r="AF18" s="224">
        <f>IF(ISNUMBER(Datos!L18),Datos!L18,"-")</f>
        <v>5</v>
      </c>
      <c r="AG18" s="333"/>
      <c r="AH18" s="224"/>
      <c r="AI18" s="224"/>
      <c r="AJ18" s="1214"/>
      <c r="AK18" s="333"/>
      <c r="AL18" s="478"/>
      <c r="AM18" s="1214">
        <f>IF(ISNUMBER(Datos!R18),Datos!R18," - ")</f>
        <v>5</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25</v>
      </c>
      <c r="BD18" s="228">
        <f>IF(ISNUMBER(Datos!N18),Datos!N18," - ")</f>
        <v>16</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1.131578947368421</v>
      </c>
      <c r="BH18" s="1214">
        <f>IF(ISNUMBER(((IF(D_I="SI",Datos!L18/Datos!K18,(Datos!L18+Datos!AF18)/(Datos!K18+Datos!AE18)))*11)/factor_trimestre),((IF(D_I="SI",Datos!L18/Datos!K18,(Datos!L18+Datos!AF18)/(Datos!K18+Datos!AE18)))*11)/factor_trimestre," - ")</f>
        <v>0.34883720930232559</v>
      </c>
      <c r="BI18" s="242">
        <f>IF(ISNUMBER('Resol  Asuntos'!D18/NºAsuntos!G18),'Resol  Asuntos'!D18/NºAsuntos!G18," - ")</f>
        <v>0.58139534883720934</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239.62036239904683</v>
      </c>
      <c r="CF18" s="228">
        <f ca="1">AVERAGEIFS($AB:$AB,$BW:$BW,BW18,$BX:$BX,BX18)</f>
        <v>239.62036239904683</v>
      </c>
      <c r="CG18" s="1191">
        <v>0.7</v>
      </c>
      <c r="CH18" s="1191">
        <f ca="1">AVERAGEIF($BW:$BW,BW18,$AC:$AC)</f>
        <v>15.3</v>
      </c>
      <c r="CI18" s="228">
        <f ca="1">AVERAGEIFS($AC:$AC,$BW:$BW,BW18,$BX:$BX,BX18)</f>
        <v>15.3</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158</v>
      </c>
      <c r="CR18" s="228">
        <f ca="1">AVERAGEIFS($AF:$AF,$BW:$BW,BW18,$BX:$BX,BX18)</f>
        <v>158</v>
      </c>
      <c r="CS18" s="1191">
        <v>1.3</v>
      </c>
      <c r="CT18" s="1191">
        <v>1.5</v>
      </c>
      <c r="CU18" s="1191">
        <f ca="1">AVERAGEIF($BW:$BW,$BW18,$AH:$AH)</f>
        <v>62.571428571428569</v>
      </c>
      <c r="CV18" s="228">
        <f ca="1">AVERAGEIFS($AH:$AH,$BW:$BW,$BW18,$BX:$BX,$BX18)</f>
        <v>62.571428571428569</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527.70000000000005</v>
      </c>
      <c r="DH18" s="1218">
        <f ca="1">AVERAGEIFS($AM:$AM,$BW:$BW,$BW18,$BX:$BX,$BX18)</f>
        <v>527.70000000000005</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3.34379430225257</v>
      </c>
      <c r="ER18" s="1218">
        <f ca="1">AVERAGEIFS($BH:$BH,$BW:$BW,$BW18,$BX:$BX,$BX18)</f>
        <v>3.34379430225257</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3</v>
      </c>
      <c r="F19" s="895">
        <f>SUBTOTAL(9,F15:F18)</f>
        <v>297</v>
      </c>
      <c r="G19" s="895">
        <f>SUBTOTAL(9,G15:G18)</f>
        <v>285</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8</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680</v>
      </c>
      <c r="AC19" s="896">
        <f t="shared" si="5"/>
        <v>13</v>
      </c>
      <c r="AD19" s="896">
        <f t="shared" si="5"/>
        <v>0</v>
      </c>
      <c r="AE19" s="896">
        <f t="shared" si="5"/>
        <v>0</v>
      </c>
      <c r="AF19" s="896">
        <f t="shared" si="5"/>
        <v>470</v>
      </c>
      <c r="AG19" s="896">
        <f t="shared" si="5"/>
        <v>0</v>
      </c>
      <c r="AH19" s="896">
        <f t="shared" si="5"/>
        <v>0</v>
      </c>
      <c r="AI19" s="896">
        <f t="shared" si="5"/>
        <v>0</v>
      </c>
      <c r="AJ19" s="896">
        <f t="shared" si="5"/>
        <v>0</v>
      </c>
      <c r="AK19" s="896">
        <f t="shared" si="5"/>
        <v>0</v>
      </c>
      <c r="AL19" s="896">
        <f t="shared" si="5"/>
        <v>0</v>
      </c>
      <c r="AM19" s="896">
        <f t="shared" si="5"/>
        <v>72</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99</v>
      </c>
      <c r="BD19" s="896">
        <f t="shared" si="5"/>
        <v>464</v>
      </c>
      <c r="BE19" s="896">
        <f t="shared" si="5"/>
        <v>0</v>
      </c>
      <c r="BF19" s="896">
        <f t="shared" si="5"/>
        <v>0</v>
      </c>
      <c r="BG19" s="896">
        <f>IF(ISNUMBER(Datos!K19/Datos!J19),Datos!K19/Datos!J19," - ")</f>
        <v>0.80664294187425856</v>
      </c>
      <c r="BH19" s="900">
        <f>IF(ISNUMBER(((Datos!L19/Datos!K19)*11)/factor_trimestre),((Datos!L19/Datos!K19)*11)/factor_trimestre," - ")</f>
        <v>2.0735294117647061</v>
      </c>
      <c r="BI19" s="896">
        <f>SUBTOTAL(9,BI15:BI18)</f>
        <v>0.69756489357818263</v>
      </c>
      <c r="BJ19" s="896">
        <f>SUBTOTAL(9,BJ15:BJ18)</f>
        <v>0</v>
      </c>
      <c r="BK19" s="896">
        <f>SUBTOTAL(9,BK15:BK18)</f>
        <v>0</v>
      </c>
      <c r="BL19" s="896">
        <f>IF(ISNUMBER((I19-AB19+L19)/(F19)),(I19-AB19+L19)/(F19)," - ")</f>
        <v>-2.2895622895622894</v>
      </c>
      <c r="BM19" s="902">
        <f>IF(ISNUMBER((Datos!P19-Datos!Q19)/(Datos!R19-Datos!P19+Datos!Q19)),(Datos!P19-Datos!Q19)/(Datos!R19-Datos!P19+Datos!Q19)," - ")</f>
        <v>-6.4935064935064929E-2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6</v>
      </c>
      <c r="F20" s="817">
        <f t="shared" si="7"/>
        <v>301</v>
      </c>
      <c r="G20" s="817">
        <f t="shared" si="7"/>
        <v>289</v>
      </c>
      <c r="H20" s="819">
        <f t="shared" si="7"/>
        <v>0</v>
      </c>
      <c r="I20" s="817">
        <f t="shared" si="7"/>
        <v>0</v>
      </c>
      <c r="J20" s="819">
        <f t="shared" si="7"/>
        <v>0</v>
      </c>
      <c r="K20" s="819">
        <f t="shared" si="7"/>
        <v>0</v>
      </c>
      <c r="L20" s="878">
        <f t="shared" si="7"/>
        <v>0</v>
      </c>
      <c r="M20" s="878">
        <f t="shared" si="7"/>
        <v>0</v>
      </c>
      <c r="N20" s="878">
        <f t="shared" si="7"/>
        <v>57</v>
      </c>
      <c r="O20" s="878">
        <f t="shared" si="7"/>
        <v>0</v>
      </c>
      <c r="P20" s="878">
        <f t="shared" si="7"/>
        <v>0</v>
      </c>
      <c r="Q20" s="819">
        <f t="shared" si="7"/>
        <v>158</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681</v>
      </c>
      <c r="AC20" s="818">
        <f t="shared" si="8"/>
        <v>51</v>
      </c>
      <c r="AD20" s="818">
        <f t="shared" si="8"/>
        <v>0</v>
      </c>
      <c r="AE20" s="818">
        <f t="shared" si="8"/>
        <v>0</v>
      </c>
      <c r="AF20" s="825">
        <f t="shared" si="8"/>
        <v>474</v>
      </c>
      <c r="AG20" s="825">
        <f t="shared" si="8"/>
        <v>0</v>
      </c>
      <c r="AH20" s="825">
        <f t="shared" si="8"/>
        <v>146</v>
      </c>
      <c r="AI20" s="825">
        <f t="shared" si="8"/>
        <v>0</v>
      </c>
      <c r="AJ20" s="818">
        <f t="shared" si="8"/>
        <v>0</v>
      </c>
      <c r="AK20" s="825">
        <f t="shared" si="8"/>
        <v>0</v>
      </c>
      <c r="AL20" s="825">
        <f t="shared" si="8"/>
        <v>0</v>
      </c>
      <c r="AM20" s="825">
        <f t="shared" si="8"/>
        <v>1759</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256</v>
      </c>
      <c r="BD20" s="817">
        <f t="shared" si="8"/>
        <v>637</v>
      </c>
      <c r="BE20" s="817">
        <f t="shared" si="8"/>
        <v>0</v>
      </c>
      <c r="BF20" s="827">
        <f t="shared" si="8"/>
        <v>0</v>
      </c>
      <c r="BG20" s="912">
        <f>IF(ISNUMBER(Datos!K20/Datos!J20),Datos!K20/Datos!J20," - ")</f>
        <v>0.77065432914738929</v>
      </c>
      <c r="BH20" s="912">
        <f>IF(ISNUMBER(((Datos!L20/Datos!K20)*11)/factor_trimestre),((Datos!L20/Datos!K20)*11)/factor_trimestre," - ")</f>
        <v>3.717838765008576</v>
      </c>
      <c r="BI20" s="810">
        <f>IF(ISNUMBER(Datos!J20/Datos!I20),Datos!J20/Datos!I20," - ")</f>
        <v>1.4061338289962826</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-2.2624584717607972</v>
      </c>
      <c r="BM20" s="886">
        <f>IF(ISNUMBER((Datos!P20-Datos!Q20+R20)/(Datos!R20-Datos!P20+Datos!Q20-R20)),(Datos!P20-Datos!Q20+R20)/(Datos!R20-Datos!P20+Datos!Q20-R20)," - ")</f>
        <v>6.4769975786924935E-2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115.6</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1.5491933384829668</v>
      </c>
      <c r="F22" s="550">
        <f>IF(ISNUMBER(STDEV(F8:F19)),STDEV(F8:F19),"-")</f>
        <v>169.16362887256034</v>
      </c>
      <c r="G22" s="551">
        <f>IF(ISNUMBER(STDEV(G8:G19)),STDEV(G8:G19),"-")</f>
        <v>151.91872827271823</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353.20362399046815</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65.111186954828796</v>
      </c>
      <c r="BD22" s="550"/>
      <c r="BE22" s="550">
        <f>IF(ISNUMBER(STDEV(BE8:BE19)),STDEV(BE8:BE19),"-")</f>
        <v>0</v>
      </c>
      <c r="BF22" s="555">
        <f>IF(ISNUMBER(STDEV(BF8:BF19)),STDEV(BF8:BF19),"-")</f>
        <v>0</v>
      </c>
      <c r="BG22" s="772">
        <f>IF(ISNUMBER(STDEV(BG8:BG19)),STDEV(BG8:BG19),"-")</f>
        <v>0.16266407934804272</v>
      </c>
      <c r="BH22" s="773">
        <f>IF(ISNUMBER(STDEV(BH8:BH19)),STDEV(BH8:BH19),"-")</f>
        <v>4.2275049603899699</v>
      </c>
      <c r="BI22" s="248">
        <f>IF(ISNUMBER(STDEV(BI8:BI19)),STDEV(BI8:BI19),"-")</f>
        <v>0.26598479910601042</v>
      </c>
      <c r="BJ22" s="1415" t="str">
        <f>IF(ISNUMBER(BL22/BM22),BL22/BM22," - ")</f>
        <v xml:space="preserve"> - </v>
      </c>
      <c r="BK22" s="574"/>
      <c r="BL22" s="558">
        <f>IF(ISNUMBER(STDEV(BL8:BL19)),STDEV(BL8:BL19),"-")</f>
        <v>1.4421883256018555</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Iz3W+heFbThITrK1M2sH9tuhL0jcOz7+AQvrrrdOke6HHl18rvroYTqbKYEwUm4d8PE1ZKcnhX+VURejU2T/zw==" saltValue="Hso+hRyfUJKtREyjL+KR0g=="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ARAGON</v>
      </c>
    </row>
    <row r="2" spans="1:146" ht="16.5" customHeight="1">
      <c r="C2" s="487" t="str">
        <f>Criterios!A10 &amp;"  "&amp;Criterios!B10 &amp; "  " &amp; IF(NOT(ISBLANK(Criterios!A11)),Criterios!A11 &amp;"  "&amp;Criterios!B11,"")</f>
        <v>Provincias  TERUEL  Resumenes por Partidos Judiciales  TERUEL</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0.29020332717190389</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0.20520474056615151</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6Bs2VYXAwSfXcO4Z1UB4JiRy2cwCrqXA+l8yckGZhF3T4gBYN65470bWkVqLDEfDhyQ0eIOxELyIDmge4Ybfvw==" saltValue="+jNwXWsIp5Mu4x984H5SdQ=="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ARAGON</v>
      </c>
      <c r="B4" s="1461" t="str">
        <f>IF(Criterios!B10=0,"",Criterios!B10)</f>
        <v>TERUEL</v>
      </c>
      <c r="C4" s="1461" t="str">
        <f>IF(Criterios!B11=0,"",Criterios!B11)</f>
        <v>TERUEL</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8Qx6jEvsi/hE3TKN/5gl0LhId4JxMhYWivJFDS15OlbAmoAOt+UVsktYlHck7ztWufqX9VkLgymEWu4dpUHvPQ==" saltValue="fn9SBIqT7sYt5QVMb7jYRQ=="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ARAGON</v>
      </c>
      <c r="C2" s="374"/>
      <c r="E2" s="374"/>
      <c r="F2" s="374"/>
      <c r="G2" s="374"/>
      <c r="H2" s="374"/>
    </row>
    <row r="3" spans="1:16" ht="39">
      <c r="A3" s="414" t="s">
        <v>219</v>
      </c>
      <c r="B3" s="390" t="str">
        <f>Criterios!A10 &amp;"  "&amp;Criterios!B10</f>
        <v>Provincias  TERUEL</v>
      </c>
      <c r="C3" s="414"/>
      <c r="F3" s="374"/>
      <c r="G3" s="374"/>
      <c r="H3" s="374"/>
    </row>
    <row r="4" spans="1:16" ht="13.5" thickBot="1">
      <c r="A4" s="374"/>
      <c r="B4" s="390" t="str">
        <f>Criterios!A11 &amp;"  "&amp;Criterios!B11</f>
        <v>Resumenes por Partidos Judiciales  TERUEL</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3</v>
      </c>
      <c r="D17" s="402">
        <f>Datos!BK17</f>
        <v>0</v>
      </c>
      <c r="E17" s="402">
        <f>Datos!AQ17</f>
        <v>3</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39DNGmVz5mxj7cBiG9KpHmWTjmnl1ec6HJqDeVP8mwuVFbKrAE5mbhh2prX4oouxpVi3BSjEF13onPSz1aOyzg==" saltValue="dcYzRsUGBteClyJtPEGCHg=="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ARAGON</v>
      </c>
      <c r="C2" s="390"/>
    </row>
    <row r="3" spans="1:78" ht="19.5">
      <c r="A3" s="424" t="s">
        <v>11</v>
      </c>
      <c r="B3" s="390" t="str">
        <f>Criterios!A10 &amp;"  "&amp;Criterios!B10</f>
        <v>Provincias  TERUEL</v>
      </c>
      <c r="C3" s="390"/>
      <c r="D3" s="424"/>
      <c r="BZ3" s="470"/>
    </row>
    <row r="4" spans="1:78" ht="13.5" thickBot="1">
      <c r="B4" s="390" t="str">
        <f>Criterios!A11 &amp;"  "&amp;Criterios!B11</f>
        <v>Resumenes por Partidos Judiciales  TERUEL</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1</v>
      </c>
      <c r="E10" s="403">
        <f>IF(ISNUMBER(D10/B10),D10/B10," - ")</f>
        <v>1</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3</v>
      </c>
      <c r="C12" s="409">
        <f>Datos!AQ12</f>
        <v>3</v>
      </c>
      <c r="D12" s="402">
        <f>IF(ISNUMBER(Datos!M12),Datos!M12," - ")</f>
        <v>156</v>
      </c>
      <c r="E12" s="403">
        <f t="shared" si="0"/>
        <v>52</v>
      </c>
      <c r="F12" s="402">
        <f>IF(ISNUMBER(Datos!N12),Datos!N12," - ")</f>
        <v>173</v>
      </c>
      <c r="G12" s="403">
        <f t="shared" si="1"/>
        <v>57.666666666666664</v>
      </c>
      <c r="H12" s="402">
        <f>IF(ISNUMBER(Datos!O12),Datos!O12," - ")</f>
        <v>230</v>
      </c>
      <c r="I12" s="403">
        <f t="shared" si="2"/>
        <v>76.666666666666671</v>
      </c>
      <c r="BZ12" s="1181">
        <f>Datos!EZ12</f>
        <v>0</v>
      </c>
    </row>
    <row r="13" spans="1:78" ht="14.25" thickTop="1" thickBot="1">
      <c r="A13" s="845" t="str">
        <f>Datos!A13</f>
        <v>TOTAL</v>
      </c>
      <c r="B13" s="846">
        <f>Datos!AP13</f>
        <v>3</v>
      </c>
      <c r="C13" s="848">
        <f>Datos!AR13</f>
        <v>3</v>
      </c>
      <c r="D13" s="846">
        <f>SUBTOTAL(9,D9:D12)</f>
        <v>157</v>
      </c>
      <c r="E13" s="847">
        <f t="shared" si="0"/>
        <v>52.333333333333336</v>
      </c>
      <c r="F13" s="846">
        <f>SUBTOTAL(9,F9:F12)</f>
        <v>173</v>
      </c>
      <c r="G13" s="847">
        <f t="shared" si="1"/>
        <v>57.666666666666664</v>
      </c>
      <c r="H13" s="846">
        <f>SUBTOTAL(9,H9:H12)</f>
        <v>230</v>
      </c>
      <c r="I13" s="847">
        <f>IF(ISNUMBER(H13/B13),H13/B13," - ")</f>
        <v>76.666666666666671</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3</v>
      </c>
      <c r="C17" s="427">
        <f>Datos!AQ17</f>
        <v>3</v>
      </c>
      <c r="D17" s="402">
        <f>IF(ISNUMBER(Datos!M17),Datos!M17," - ")</f>
        <v>74</v>
      </c>
      <c r="E17" s="403">
        <f t="shared" si="3"/>
        <v>24.666666666666668</v>
      </c>
      <c r="F17" s="402">
        <f>IF(ISNUMBER(Datos!N17),Datos!N17," - ")</f>
        <v>448</v>
      </c>
      <c r="G17" s="403">
        <f t="shared" si="4"/>
        <v>149.33333333333334</v>
      </c>
      <c r="H17" s="402">
        <f>IF(ISNUMBER(Datos!O17),Datos!O17," - ")</f>
        <v>5</v>
      </c>
      <c r="I17" s="403">
        <f t="shared" si="5"/>
        <v>1.6666666666666667</v>
      </c>
      <c r="BZ17" s="1181">
        <f>Datos!EZ17</f>
        <v>0</v>
      </c>
    </row>
    <row r="18" spans="1:78" ht="13.5" thickBot="1">
      <c r="A18" s="401" t="str">
        <f>Datos!A18</f>
        <v>Sección De Violencia sobre la Mujer del TI</v>
      </c>
      <c r="B18" s="426">
        <f>Datos!AO18</f>
        <v>1</v>
      </c>
      <c r="C18" s="427">
        <f>Datos!AQ18</f>
        <v>0</v>
      </c>
      <c r="D18" s="402">
        <f>IF(ISNUMBER(Datos!M18),Datos!M18," - ")</f>
        <v>25</v>
      </c>
      <c r="E18" s="403">
        <f>IF(ISNUMBER(D18/B18),D18/B18," - ")</f>
        <v>25</v>
      </c>
      <c r="F18" s="402">
        <f>IF(ISNUMBER(Datos!N18),Datos!N18," - ")</f>
        <v>16</v>
      </c>
      <c r="G18" s="403">
        <f>IF(ISNUMBER(F18/B18),F18/B18," - ")</f>
        <v>16</v>
      </c>
      <c r="H18" s="402">
        <f>IF(ISNUMBER(Datos!O18),Datos!O18," - ")</f>
        <v>0</v>
      </c>
      <c r="I18" s="403">
        <f t="shared" si="5"/>
        <v>0</v>
      </c>
      <c r="BZ18" s="1181">
        <f>Datos!EZ18</f>
        <v>0</v>
      </c>
    </row>
    <row r="19" spans="1:78" ht="14.25" thickTop="1" thickBot="1">
      <c r="A19" s="845" t="str">
        <f>Datos!A19</f>
        <v>TOTAL</v>
      </c>
      <c r="B19" s="846">
        <f>Datos!AP19</f>
        <v>3</v>
      </c>
      <c r="C19" s="848">
        <f>Datos!AR19</f>
        <v>3</v>
      </c>
      <c r="D19" s="846">
        <f>SUBTOTAL(9,D15:D18)</f>
        <v>99</v>
      </c>
      <c r="E19" s="847">
        <f t="shared" si="3"/>
        <v>33</v>
      </c>
      <c r="F19" s="846">
        <f>SUBTOTAL(9,F15:F18)</f>
        <v>464</v>
      </c>
      <c r="G19" s="847">
        <f t="shared" si="4"/>
        <v>154.66666666666666</v>
      </c>
      <c r="H19" s="846">
        <f>SUBTOTAL(9,H15:H18)</f>
        <v>5</v>
      </c>
      <c r="I19" s="847">
        <f>IF(ISNUMBER(H19/B19),H19/B19," - ")</f>
        <v>1.6666666666666667</v>
      </c>
      <c r="BZ19" s="1181"/>
    </row>
    <row r="20" spans="1:78" ht="14.25" thickTop="1" thickBot="1">
      <c r="A20" s="790" t="str">
        <f>Datos!A20</f>
        <v>TOTAL JURISDICCIONES</v>
      </c>
      <c r="B20" s="791">
        <f>Datos!AP20</f>
        <v>3</v>
      </c>
      <c r="C20" s="791">
        <f>Datos!AR20</f>
        <v>3</v>
      </c>
      <c r="D20" s="791">
        <f>SUBTOTAL(9,D8:D19)</f>
        <v>256</v>
      </c>
      <c r="E20" s="792">
        <f>IF(ISNUMBER(D20/B20),D20/B20," - ")</f>
        <v>85.333333333333329</v>
      </c>
      <c r="F20" s="791">
        <f>SUBTOTAL(9,F8:F19)</f>
        <v>637</v>
      </c>
      <c r="G20" s="792">
        <f>IF(ISNUMBER(F20/B20),F20/B20," - ")</f>
        <v>212.33333333333334</v>
      </c>
      <c r="H20" s="791">
        <f>SUBTOTAL(9,H8:H19)</f>
        <v>235</v>
      </c>
      <c r="I20" s="792">
        <f>IF(ISNUMBER(H20/B20),H20/B20," - ")</f>
        <v>78.333333333333329</v>
      </c>
    </row>
    <row r="23" spans="1:78">
      <c r="A23" s="390" t="str">
        <f>Criterios!A4</f>
        <v>Fecha Informe: 18 jun. 2026</v>
      </c>
    </row>
    <row r="28" spans="1:78">
      <c r="A28" s="413"/>
    </row>
  </sheetData>
  <sheetProtection algorithmName="SHA-512" hashValue="dnH71SLQ0T2NNGoeq15x9qdl+SCB3RoXFBs5mcsueBMNy8/X5LvJ/RqCW4p5kZxfH/n4Z+ZMGGsb4lSsW9drmw==" saltValue="R1IabCMlhSNI20TCEl+b/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ARAGON</v>
      </c>
    </row>
    <row r="3" spans="1:4" ht="19.5">
      <c r="A3" s="428" t="s">
        <v>32</v>
      </c>
      <c r="B3" s="390" t="str">
        <f>Criterios!A10 &amp;"  "&amp;Criterios!B10</f>
        <v>Provincias  TERUEL</v>
      </c>
    </row>
    <row r="4" spans="1:4" ht="13.5" thickBot="1">
      <c r="B4" s="390" t="str">
        <f>Criterios!A11 &amp;"  "&amp;Criterios!B11</f>
        <v>Resumenes por Partidos Judiciales  TERUEL</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3</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150</v>
      </c>
      <c r="C12" s="433">
        <f>IF(ISNUMBER(Datos!Q12),Datos!Q12," - ")</f>
        <v>38</v>
      </c>
      <c r="D12" s="407">
        <f>IF(ISNUMBER(Datos!R12),Datos!R12," - ")</f>
        <v>1684</v>
      </c>
    </row>
    <row r="13" spans="1:4" ht="14.25" thickTop="1" thickBot="1">
      <c r="A13" s="845" t="str">
        <f>Datos!A13</f>
        <v>TOTAL</v>
      </c>
      <c r="B13" s="846">
        <f>SUBTOTAL(9,B9:B12)</f>
        <v>150</v>
      </c>
      <c r="C13" s="850">
        <f>SUBTOTAL(9,C9:C12)</f>
        <v>38</v>
      </c>
      <c r="D13" s="848">
        <f>SUBTOTAL(9,D9:D12)</f>
        <v>1687</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8</v>
      </c>
      <c r="C17" s="433">
        <f>IF(ISNUMBER(Datos!Q17),Datos!Q17," - ")</f>
        <v>13</v>
      </c>
      <c r="D17" s="407">
        <f>IF(ISNUMBER(Datos!R17),Datos!R17," - ")</f>
        <v>67</v>
      </c>
    </row>
    <row r="18" spans="1:4" ht="13.5" thickBot="1">
      <c r="A18" s="401" t="str">
        <f>Datos!A18</f>
        <v>Sección De Violencia sobre la Mujer del TI</v>
      </c>
      <c r="B18" s="432">
        <f>IF(ISNUMBER(Datos!P18),Datos!P18," - ")</f>
        <v>0</v>
      </c>
      <c r="C18" s="433">
        <f>IF(ISNUMBER(Datos!Q18),Datos!Q18," - ")</f>
        <v>0</v>
      </c>
      <c r="D18" s="407">
        <f>IF(ISNUMBER(Datos!R18),Datos!R18," - ")</f>
        <v>5</v>
      </c>
    </row>
    <row r="19" spans="1:4" ht="14.25" thickTop="1" thickBot="1">
      <c r="A19" s="845" t="str">
        <f>Datos!A19</f>
        <v>TOTAL</v>
      </c>
      <c r="B19" s="846">
        <f>SUBTOTAL(9,B15:B18)</f>
        <v>8</v>
      </c>
      <c r="C19" s="850">
        <f>SUBTOTAL(9,C15:C18)</f>
        <v>13</v>
      </c>
      <c r="D19" s="848">
        <f>SUBTOTAL(9,D15:D18)</f>
        <v>72</v>
      </c>
    </row>
    <row r="20" spans="1:4" ht="16.5" customHeight="1" thickTop="1" thickBot="1">
      <c r="A20" s="790" t="str">
        <f>Datos!A20</f>
        <v>TOTAL JURISDICCIONES</v>
      </c>
      <c r="B20" s="795">
        <f>SUBTOTAL(9,B8:B19)</f>
        <v>158</v>
      </c>
      <c r="C20" s="796">
        <f>SUBTOTAL(9,C8:C19)</f>
        <v>51</v>
      </c>
      <c r="D20" s="797">
        <f>SUBTOTAL(9,D8:D19)</f>
        <v>1759</v>
      </c>
    </row>
    <row r="21" spans="1:4" ht="7.5" customHeight="1"/>
    <row r="22" spans="1:4" ht="6" customHeight="1"/>
    <row r="23" spans="1:4">
      <c r="A23" s="390" t="str">
        <f>Criterios!A4</f>
        <v>Fecha Informe: 18 jun. 2026</v>
      </c>
    </row>
    <row r="28" spans="1:4">
      <c r="A28" s="413"/>
    </row>
  </sheetData>
  <sheetProtection algorithmName="SHA-512" hashValue="ZxHnUsJpJP+hlfmzJd0K/KzFhhW17+VmcVN2gmgJtqentpJDxkLt206m6movAGmrRYlsauCEp1FKqdkunvTezA==" saltValue="2GgW7zWfYwbSMBxMDI1uL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ARAGON</v>
      </c>
    </row>
    <row r="3" spans="1:11" ht="18.75" customHeight="1">
      <c r="A3" s="428" t="s">
        <v>118</v>
      </c>
      <c r="B3" s="390" t="str">
        <f>Criterios!A10 &amp;"  "&amp;Criterios!B10</f>
        <v>Provincias  TERUEL</v>
      </c>
    </row>
    <row r="4" spans="1:11" ht="10.5" customHeight="1" thickBot="1">
      <c r="B4" s="390" t="str">
        <f>Criterios!A11 &amp;"  "&amp;Criterios!B11</f>
        <v>Resumenes por Partidos Judiciales  TERUEL</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-0.2</v>
      </c>
      <c r="C10" s="455">
        <f>IF(ISNUMBER((Datos!J10-Datos!T10)/Datos!T10),(Datos!J10-Datos!T10)/Datos!T10," - ")</f>
        <v>-0.5</v>
      </c>
      <c r="D10" s="455">
        <f>IF(ISNUMBER((Datos!K10-Datos!U10)/Datos!U10),(Datos!K10-Datos!U10)/Datos!U10," - ")</f>
        <v>0</v>
      </c>
      <c r="E10" s="455">
        <f>IF(ISNUMBER((Datos!L10-Datos!V10)/Datos!V10),(Datos!L10-Datos!V10)/Datos!V10," - ")</f>
        <v>-0.33333333333333331</v>
      </c>
      <c r="F10" s="455">
        <f>IF(ISNUMBER((Datos!M10-Datos!W10)/Datos!W10),(Datos!M10-Datos!W10)/Datos!W10," - ")</f>
        <v>0</v>
      </c>
      <c r="G10" s="456" t="str">
        <f>IF(ISNUMBER((Datos!N10-Datos!X10)/Datos!X10),(Datos!N10-Datos!X10)/Datos!X10," - ")</f>
        <v xml:space="preserve"> - </v>
      </c>
      <c r="H10" s="454">
        <f>IF(ISNUMBER(((NºAsuntos!G10/NºAsuntos!E10)-Datos!BD10)/Datos!BD10),((NºAsuntos!G10/NºAsuntos!E10)-Datos!BD10)/Datos!BD10," - ")</f>
        <v>1</v>
      </c>
      <c r="I10" s="455">
        <f>IF(ISNUMBER(((NºAsuntos!I10/NºAsuntos!G10)-Datos!BE10)/Datos!BE10),((NºAsuntos!I10/NºAsuntos!G10)-Datos!BE10)/Datos!BE10," - ")</f>
        <v>-0.33333333333333331</v>
      </c>
      <c r="J10" s="460">
        <f>IF(ISNUMBER((('Resol  Asuntos'!D10/NºAsuntos!G10)-Datos!BF10)/Datos!BF10),(('Resol  Asuntos'!D10/NºAsuntos!G10)-Datos!BF10)/Datos!BF10," - ")</f>
        <v>0</v>
      </c>
      <c r="K10" s="461">
        <f>IF(ISNUMBER((((NºAsuntos!C10+NºAsuntos!E10)/NºAsuntos!G10)-Datos!BG10)/Datos!BG10),(((NºAsuntos!C10+NºAsuntos!E10)/NºAsuntos!G10)-Datos!BG10)/Datos!BG10," - ")</f>
        <v>-0.2857142857142857</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-0.14508723599632692</v>
      </c>
      <c r="C12" s="455">
        <f>IF(ISNUMBER(
   IF(J_V="SI",(Datos!J12-Datos!T12)/Datos!T12,(Datos!J12+Datos!Z12-(Datos!T12+Datos!AH12))/(Datos!T12+Datos!AH12))
     ),IF(J_V="SI",(Datos!J12-Datos!T12)/Datos!T12,(Datos!J12+Datos!Z12-(Datos!T12+Datos!AH12))/(Datos!T12+Datos!AH12))," - ")</f>
        <v>-0.29514563106796116</v>
      </c>
      <c r="D12" s="455">
        <f>IF(ISNUMBER(
   IF(J_V="SI",(Datos!K12-Datos!U12)/Datos!U12,(Datos!K12+Datos!AA12-(Datos!U12+Datos!AI12))/(Datos!U12+Datos!AI12))
     ),IF(J_V="SI",(Datos!K12-Datos!U12)/Datos!U12,(Datos!K12+Datos!AA12-(Datos!U12+Datos!AI12))/(Datos!U12+Datos!AI12))," - ")</f>
        <v>-0.25207756232686979</v>
      </c>
      <c r="E12" s="455">
        <f>IF(ISNUMBER(
   IF(J_V="SI",(Datos!L12-Datos!V12)/Datos!V12,(Datos!L12+Datos!AB12-(Datos!V12+Datos!AJ12))/(Datos!V12+Datos!AJ12))
     ),IF(J_V="SI",(Datos!L12-Datos!V12)/Datos!V12,(Datos!L12+Datos!AB12-(Datos!V12+Datos!AJ12))/(Datos!V12+Datos!AJ12))," - ")</f>
        <v>-0.20042949176807445</v>
      </c>
      <c r="F12" s="455">
        <f>IF(ISNUMBER((Datos!M12-Datos!W12)/Datos!W12),(Datos!M12-Datos!W12)/Datos!W12," - ")</f>
        <v>-0.31578947368421051</v>
      </c>
      <c r="G12" s="456">
        <f>IF(ISNUMBER((Datos!N12-Datos!X12)/Datos!X12),(Datos!N12-Datos!X12)/Datos!X12," - ")</f>
        <v>-0.40344827586206894</v>
      </c>
      <c r="H12" s="454">
        <f>IF(ISNUMBER(((NºAsuntos!G12/NºAsuntos!E12)-Datos!BD12)/Datos!BD12),((NºAsuntos!G12/NºAsuntos!E12)-Datos!BD12)/Datos!BD12," - ")</f>
        <v>6.1102080996314138E-2</v>
      </c>
      <c r="I12" s="455">
        <f>IF(ISNUMBER(((NºAsuntos!I12/NºAsuntos!G12)-Datos!BE12)/Datos!BE12),((NºAsuntos!I12/NºAsuntos!G12)-Datos!BE12)/Datos!BE12," - ")</f>
        <v>6.9055383228611489E-2</v>
      </c>
      <c r="J12" s="460">
        <f>IF(ISNUMBER((('Resol  Asuntos'!D12/NºAsuntos!G12)-Datos!BF12)/Datos!BF12),(('Resol  Asuntos'!D12/NºAsuntos!G12)-Datos!BF12)/Datos!BF12," - ")</f>
        <v>-0.28076628352490429</v>
      </c>
      <c r="K12" s="461">
        <f>IF(ISNUMBER((((NºAsuntos!C12+NºAsuntos!E12)/NºAsuntos!G12)-Datos!BG12)/Datos!BG12),(((NºAsuntos!C12+NºAsuntos!E12)/NºAsuntos!G12)-Datos!BG12)/Datos!BG12," - ")</f>
        <v>4.5526366385262036E-2</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-0.1453382084095064</v>
      </c>
      <c r="C13" s="852">
        <f>IF(ISNUMBER(
   IF(J_V="SI",(Datos!J13-Datos!T13)/Datos!T13,(Datos!J13+Datos!Z13-(Datos!T13+Datos!AH13))/(Datos!T13+Datos!AH13))
     ),IF(J_V="SI",(Datos!J13-Datos!T13)/Datos!T13,(Datos!J13+Datos!Z13-(Datos!T13+Datos!AH13))/(Datos!T13+Datos!AH13))," - ")</f>
        <v>-0.29554263565891475</v>
      </c>
      <c r="D13" s="852">
        <f>IF(ISNUMBER(
   IF(J_V="SI",(Datos!K13-Datos!U13)/Datos!U13,(Datos!K13+Datos!AA13-(Datos!U13+Datos!AI13))/(Datos!U13+Datos!AI13))
     ),IF(J_V="SI",(Datos!K13-Datos!U13)/Datos!U13,(Datos!K13+Datos!AA13-(Datos!U13+Datos!AI13))/(Datos!U13+Datos!AI13))," - ")</f>
        <v>-0.25172890733056708</v>
      </c>
      <c r="E13" s="852">
        <f>IF(ISNUMBER(
   IF(J_V="SI",(Datos!L13-Datos!V13)/Datos!V13,(Datos!L13+Datos!AB13-(Datos!V13+Datos!AJ13))/(Datos!V13+Datos!AJ13))
     ),IF(J_V="SI",(Datos!L13-Datos!V13)/Datos!V13,(Datos!L13+Datos!AB13-(Datos!V13+Datos!AJ13))/(Datos!V13+Datos!AJ13))," - ")</f>
        <v>-0.20099786172487527</v>
      </c>
      <c r="F13" s="853">
        <f>IF(ISNUMBER((Datos!M13-Datos!W13)/Datos!W13),(Datos!M13-Datos!W13)/Datos!W13," - ")</f>
        <v>-0.31441048034934499</v>
      </c>
      <c r="G13" s="854">
        <f>IF(ISNUMBER((Datos!N13-Datos!X13)/Datos!X13),(Datos!N13-Datos!X13)/Datos!X13," - ")</f>
        <v>-0.40344827586206894</v>
      </c>
      <c r="H13" s="854">
        <f>IF(ISNUMBER(((NºAsuntos!G13/NºAsuntos!E13)-Datos!BD13)/Datos!BD13),((NºAsuntos!G13/NºAsuntos!E13)-Datos!BD13)/Datos!BD13," - ")</f>
        <v>6.219500362428431E-2</v>
      </c>
      <c r="I13" s="854">
        <f>IF(ISNUMBER(((NºAsuntos!I13/NºAsuntos!G13)-Datos!BE13)/Datos!BE13),((NºAsuntos!I13/NºAsuntos!G13)-Datos!BE13)/Datos!BE13," - ")</f>
        <v>6.7797682020175845E-2</v>
      </c>
      <c r="J13" s="854">
        <f>IF(ISNUMBER((('Resol  Asuntos'!D13/NºAsuntos!G13)-Datos!BF13)/Datos!BF13),(('Resol  Asuntos'!D13/NºAsuntos!G13)-Datos!BF13)/Datos!BF13," - ")</f>
        <v>-0.27897936238733162</v>
      </c>
      <c r="K13" s="854">
        <f>IF(ISNUMBER((((NºAsuntos!C13+NºAsuntos!E13)/NºAsuntos!G13)-Datos!BG13)/Datos!BG13),(((NºAsuntos!C13+NºAsuntos!E13)/NºAsuntos!G13)-Datos!BG13)/Datos!BG13," - ")</f>
        <v>4.4741367767782945E-2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-0.12264150943396226</v>
      </c>
      <c r="C17" s="455">
        <f>IF(ISNUMBER(
   IF(D_I="SI",(Datos!J17-Datos!T17)/Datos!T17,(Datos!J17+Datos!AD17-(Datos!T17+Datos!AL17))/(Datos!T17+Datos!AL17))
     ),IF(D_I="SI",(Datos!J17-Datos!T17)/Datos!T17,(Datos!J17+Datos!AD17-(Datos!T17+Datos!AL17))/(Datos!T17+Datos!AL17))," - ")</f>
        <v>5.3664921465968587E-2</v>
      </c>
      <c r="D17" s="455">
        <f>IF(ISNUMBER(
   IF(D_I="SI",(Datos!K17-Datos!U17)/Datos!U17,(Datos!K17+Datos!AE17-(Datos!U17+Datos!AM17))/(Datos!U17+Datos!AM17))
     ),IF(D_I="SI",(Datos!K17-Datos!U17)/Datos!U17,(Datos!K17+Datos!AE17-(Datos!U17+Datos!AM17))/(Datos!U17+Datos!AM17))," - ")</f>
        <v>-0.13685636856368563</v>
      </c>
      <c r="E17" s="455">
        <f>IF(ISNUMBER(
   IF(D_I="SI",(Datos!L17-Datos!V17)/Datos!V17,(Datos!L17+Datos!AF17-(Datos!V17+Datos!AN17))/(Datos!V17+Datos!AN17))
     ),IF(D_I="SI",(Datos!L17-Datos!V17)/Datos!V17,(Datos!L17+Datos!AF17-(Datos!V17+Datos!AN17))/(Datos!V17+Datos!AN17))," - ")</f>
        <v>0.30252100840336132</v>
      </c>
      <c r="F17" s="455">
        <f>IF(ISNUMBER((Datos!M17-Datos!W17)/Datos!W17),(Datos!M17-Datos!W17)/Datos!W17," - ")</f>
        <v>0.1044776119402985</v>
      </c>
      <c r="G17" s="456">
        <f>IF(ISNUMBER((Datos!N17-Datos!X17)/Datos!X17),(Datos!N17-Datos!X17)/Datos!X17," - ")</f>
        <v>-0.17647058823529413</v>
      </c>
      <c r="H17" s="454">
        <f>IF(ISNUMBER(((NºAsuntos!G17/NºAsuntos!E17)-Datos!BD17)/Datos!BD17),((NºAsuntos!G17/NºAsuntos!E17)-Datos!BD17)/Datos!BD17," - ")</f>
        <v>-0.18081772122069048</v>
      </c>
      <c r="I17" s="455">
        <f>IF(ISNUMBER(((NºAsuntos!I17/NºAsuntos!G17)-Datos!BE17)/Datos!BE17),((NºAsuntos!I17/NºAsuntos!G17)-Datos!BE17)/Datos!BE17," - ")</f>
        <v>0.50904317771064467</v>
      </c>
      <c r="J17" s="460">
        <f>IF(ISNUMBER((('Resol  Asuntos'!D17/NºAsuntos!G17)-Datos!BF17)/Datos!BF17),(('Resol  Asuntos'!D17/NºAsuntos!G17)-Datos!BF17)/Datos!BF17," - ")</f>
        <v>0.27959886595281058</v>
      </c>
      <c r="K17" s="461">
        <f>IF(ISNUMBER((((NºAsuntos!C17+NºAsuntos!E17)/NºAsuntos!G17)-Datos!BG17)/Datos!BG17),(((NºAsuntos!C17+NºAsuntos!E17)/NºAsuntos!G17)-Datos!BG17)/Datos!BG17," - ")</f>
        <v>0.16069723780312634</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v>
      </c>
      <c r="C18" s="455">
        <f>IF(ISNUMBER(
   IF(D_I="SI",(Datos!J18-Datos!T18)/Datos!T18,(Datos!J18+Datos!AD18-(Datos!T18+Datos!AL18))/(Datos!T18+Datos!AL18))
     ),IF(D_I="SI",(Datos!J18-Datos!T18)/Datos!T18,(Datos!J18+Datos!AD18-(Datos!T18+Datos!AL18))/(Datos!T18+Datos!AL18))," - ")</f>
        <v>0.15151515151515152</v>
      </c>
      <c r="D18" s="455">
        <f>IF(ISNUMBER(
   IF(D_I="SI",(Datos!K18-Datos!U18)/Datos!U18,(Datos!K18+Datos!AE18-(Datos!U18+Datos!AM18))/(Datos!U18+Datos!AM18))
     ),IF(D_I="SI",(Datos!K18-Datos!U18)/Datos!U18,(Datos!K18+Datos!AE18-(Datos!U18+Datos!AM18))/(Datos!U18+Datos!AM18))," - ")</f>
        <v>0.22857142857142856</v>
      </c>
      <c r="E18" s="455">
        <f>IF(ISNUMBER(
   IF(D_I="SI",(Datos!L18-Datos!V18)/Datos!V18,(Datos!L18+Datos!AF18-(Datos!V18+Datos!AN18))/(Datos!V18+Datos!AN18))
     ),IF(D_I="SI",(Datos!L18-Datos!V18)/Datos!V18,(Datos!L18+Datos!AF18-(Datos!V18+Datos!AN18))/(Datos!V18+Datos!AN18))," - ")</f>
        <v>0.25</v>
      </c>
      <c r="F18" s="455">
        <f>IF(ISNUMBER((Datos!M18-Datos!W18)/Datos!W18),(Datos!M18-Datos!W18)/Datos!W18," - ")</f>
        <v>1.0833333333333333</v>
      </c>
      <c r="G18" s="456">
        <f>IF(ISNUMBER((Datos!N18-Datos!X18)/Datos!X18),(Datos!N18-Datos!X18)/Datos!X18," - ")</f>
        <v>-0.1111111111111111</v>
      </c>
      <c r="H18" s="454">
        <f>IF(ISNUMBER(((NºAsuntos!G18/NºAsuntos!E18)-Datos!BD18)/Datos!BD18),((NºAsuntos!G18/NºAsuntos!E18)-Datos!BD18)/Datos!BD18," - ")</f>
        <v>6.6917293233082722E-2</v>
      </c>
      <c r="I18" s="455">
        <f>IF(ISNUMBER(((NºAsuntos!I18/NºAsuntos!G18)-Datos!BE18)/Datos!BE18),((NºAsuntos!I18/NºAsuntos!G18)-Datos!BE18)/Datos!BE18," - ")</f>
        <v>1.7441860465116296E-2</v>
      </c>
      <c r="J18" s="460">
        <f>IF(ISNUMBER((('Resol  Asuntos'!D18/NºAsuntos!G18)-Datos!BF18)/Datos!BF18),(('Resol  Asuntos'!D18/NºAsuntos!G18)-Datos!BF18)/Datos!BF18," - ")</f>
        <v>0.69573643410852726</v>
      </c>
      <c r="K18" s="461">
        <f>IF(ISNUMBER((((NºAsuntos!C18+NºAsuntos!E18)/NºAsuntos!G18)-Datos!BG18)/Datos!BG18),(((NºAsuntos!C18+NºAsuntos!E18)/NºAsuntos!G18)-Datos!BG18)/Datos!BG18," - ")</f>
        <v>-8.169350029815145E-2</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-0.12037037037037036</v>
      </c>
      <c r="C19" s="852">
        <f>IF(ISNUMBER(
   IF(Criterios!B14="SI",(Datos!J19-Datos!T19)/Datos!T19,(Datos!J19+Datos!AD19-(Datos!T19+Datos!AL19))/(Datos!T19+Datos!AL19))
     ),IF(Criterios!B14="SI",(Datos!J19-Datos!T19)/Datos!T19,(Datos!J19+Datos!AD19-(Datos!T19+Datos!AL19))/(Datos!T19+Datos!AL19))," - ")</f>
        <v>5.7716436637390213E-2</v>
      </c>
      <c r="D19" s="852">
        <f>IF(ISNUMBER(
   IF(Criterios!B14="SI",(Datos!K19-Datos!U19)/Datos!U19,(Datos!K19+Datos!AE19-(Datos!U19+Datos!AM19))/(Datos!U19+Datos!AM19))
     ),IF(Criterios!B14="SI",(Datos!K19-Datos!U19)/Datos!U19,(Datos!K19+Datos!AE19-(Datos!U19+Datos!AM19))/(Datos!U19+Datos!AM19))," - ")</f>
        <v>-0.1203104786545925</v>
      </c>
      <c r="E19" s="852">
        <f>IF(ISNUMBER(
   IF(Criterios!B14="SI",(Datos!L19-Datos!V19)/Datos!V19,(Datos!L19+Datos!AF19-(Datos!V19+Datos!AN19))/(Datos!V19+Datos!AN19))
     ),IF(Criterios!B14="SI",(Datos!L19-Datos!V19)/Datos!V19,(Datos!L19+Datos!AF19-(Datos!V19+Datos!AN19))/(Datos!V19+Datos!AN19))," - ")</f>
        <v>0.30193905817174516</v>
      </c>
      <c r="F19" s="853">
        <f>IF(ISNUMBER((Datos!M19-Datos!W19)/Datos!W19),(Datos!M19-Datos!W19)/Datos!W19," - ")</f>
        <v>0.25316455696202533</v>
      </c>
      <c r="G19" s="854">
        <f>IF(ISNUMBER((Datos!N19-Datos!X19)/Datos!X19),(Datos!N19-Datos!X19)/Datos!X19," - ")</f>
        <v>-0.17437722419928825</v>
      </c>
      <c r="H19" s="854">
        <f>IF(ISNUMBER(((NºAsuntos!G19/NºAsuntos!E19)-Datos!BD19)/Datos!BD19),((NºAsuntos!G19/NºAsuntos!E19)-Datos!BD19)/Datos!BD19," - ")</f>
        <v>-0.1683125165927761</v>
      </c>
      <c r="I19" s="854">
        <f>IF(ISNUMBER(((NºAsuntos!I19/NºAsuntos!G19)-Datos!BE19)/Datos!BE19),((NºAsuntos!I19/NºAsuntos!G19)-Datos!BE19)/Datos!BE19," - ")</f>
        <v>0.4799983705393514</v>
      </c>
      <c r="J19" s="854">
        <f>IF(ISNUMBER((('Resol  Asuntos'!D19/NºAsuntos!G19)-Datos!BF19)/Datos!BF19),(('Resol  Asuntos'!D19/NºAsuntos!G19)-Datos!BF19)/Datos!BF19," - ")</f>
        <v>0.42455323901712594</v>
      </c>
      <c r="K19" s="854">
        <f>IF(ISNUMBER((((NºAsuntos!C19+NºAsuntos!E19)/NºAsuntos!G19)-Datos!BG19)/Datos!BG19),(((NºAsuntos!C19+NºAsuntos!E19)/NºAsuntos!G19)-Datos!BG19)/Datos!BG19," - ")</f>
        <v>0.14386314739990561</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-0.13963328631875882</v>
      </c>
      <c r="C20" s="799">
        <f>IF(ISNUMBER(
   IF(J_V="SI",(Datos!J20-Datos!T20)/Datos!T20,(Datos!J20+Datos!Z20-(Datos!T20+Datos!AH20))/(Datos!T20+Datos!AH20))
     ),IF(J_V="SI",(Datos!J20-Datos!T20)/Datos!T20,(Datos!J20+Datos!Z20-(Datos!T20+Datos!AH20))/(Datos!T20+Datos!AH20))," - ")</f>
        <v>-0.14160743575724438</v>
      </c>
      <c r="D20" s="799">
        <f>IF(ISNUMBER(
   IF(J_V="SI",(Datos!K20-Datos!U20)/Datos!U20,(Datos!K20+Datos!AA20-(Datos!U20+Datos!AI20))/(Datos!U20+Datos!AI20))
     ),IF(J_V="SI",(Datos!K20-Datos!U20)/Datos!U20,(Datos!K20+Datos!AA20-(Datos!U20+Datos!AI20))/(Datos!U20+Datos!AI20))," - ")</f>
        <v>-0.18382352941176472</v>
      </c>
      <c r="E20" s="799">
        <f>IF(ISNUMBER(
   IF(J_V="SI",(Datos!L20-Datos!V20)/Datos!V20,(Datos!L20+Datos!AB20-(Datos!V20+Datos!AJ20))/(Datos!V20+Datos!AJ20))
     ),IF(J_V="SI",(Datos!L20-Datos!V20)/Datos!V20,(Datos!L20+Datos!AB20-(Datos!V20+Datos!AJ20))/(Datos!V20+Datos!AJ20))," - ")</f>
        <v>-9.8072562358276646E-2</v>
      </c>
      <c r="F20" s="800">
        <f>IF(ISNUMBER((Datos!M20-Datos!W20)/Datos!W20),(Datos!M20-Datos!W20)/Datos!W20," - ")</f>
        <v>-0.16883116883116883</v>
      </c>
      <c r="G20" s="801">
        <f>IF(ISNUMBER((Datos!N20-Datos!X20)/Datos!X20),(Datos!N20-Datos!X20)/Datos!X20," - ")</f>
        <v>-0.25234741784037557</v>
      </c>
      <c r="H20" s="802">
        <f>IF(ISNUMBER((Tasas!B20-Datos!BD20)/Datos!BD20),(Tasas!B20-Datos!BD20)/Datos!BD20," - ")</f>
        <v>-4.9180404645934706E-2</v>
      </c>
      <c r="I20" s="803">
        <f>IF(ISNUMBER((Tasas!C20-Datos!BE20)/Datos!BE20),(Tasas!C20-Datos!BE20)/Datos!BE20," - ")</f>
        <v>0.10506424792139069</v>
      </c>
      <c r="J20" s="804">
        <f>IF(ISNUMBER((Tasas!D20-Datos!BF20)/Datos!BF20),(Tasas!D20-Datos!BF20)/Datos!BF20," - ")</f>
        <v>-0.15227660092524947</v>
      </c>
      <c r="K20" s="804">
        <f>IF(ISNUMBER((Tasas!E20-Datos!BG20)/Datos!BG20),(Tasas!E20-Datos!BG20)/Datos!BG20," - ")</f>
        <v>5.2780529220319776E-2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p3C7TQ59KbvoprmHfKK47Hmxx81/uHQhSXSpv5IjLNDjvnG9Hb6Fg/37Ld41lo08ZgpJJbVe3CU6AnfKHLRFiQ==" saltValue="EVA04qzLuk2ZWBrPeM8yIw=="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ARAGON</v>
      </c>
    </row>
    <row r="3" spans="1:7" ht="19.5">
      <c r="A3" s="435" t="s">
        <v>12</v>
      </c>
      <c r="B3" s="390" t="str">
        <f>Criterios!A10 &amp;"  "&amp;Criterios!B10</f>
        <v>Provincias  TERUEL</v>
      </c>
    </row>
    <row r="4" spans="1:7" ht="11.25" customHeight="1" thickBot="1">
      <c r="B4" s="390" t="str">
        <f>Criterios!A11 &amp;"  "&amp;Criterios!B11</f>
        <v>Resumenes por Partidos Judiciales  TERUEL</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1</v>
      </c>
      <c r="C10" s="442">
        <f>IF(ISNUMBER(NºAsuntos!I10/NºAsuntos!G10),NºAsuntos!I10/NºAsuntos!G10," - ")</f>
        <v>4</v>
      </c>
      <c r="D10" s="443">
        <f>IF(ISNUMBER('Resol  Asuntos'!D10/NºAsuntos!G10),'Resol  Asuntos'!D10/NºAsuntos!G10," - ")</f>
        <v>1</v>
      </c>
      <c r="E10" s="444">
        <f>IF(ISNUMBER((NºAsuntos!C10+NºAsuntos!E10)/NºAsuntos!G10),(NºAsuntos!C10+NºAsuntos!E10)/NºAsuntos!G10," - ")</f>
        <v>5</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0.74380165289256195</v>
      </c>
      <c r="C12" s="442">
        <f>IF(ISNUMBER(NºAsuntos!I12/NºAsuntos!G12),NºAsuntos!I12/NºAsuntos!G12," - ")</f>
        <v>2.0685185185185184</v>
      </c>
      <c r="D12" s="443">
        <f>IF(ISNUMBER('Resol  Asuntos'!D12/NºAsuntos!G12),'Resol  Asuntos'!D12/NºAsuntos!G12," - ")</f>
        <v>0.28888888888888886</v>
      </c>
      <c r="E12" s="444">
        <f>IF(ISNUMBER((NºAsuntos!C12+NºAsuntos!E12)/NºAsuntos!G12),(NºAsuntos!C12+NºAsuntos!E12)/NºAsuntos!G12," - ")</f>
        <v>3.0685185185185184</v>
      </c>
      <c r="G12" s="462"/>
    </row>
    <row r="13" spans="1:7" ht="14.25" thickTop="1" thickBot="1">
      <c r="A13" s="845" t="str">
        <f>Datos!A13</f>
        <v>TOTAL</v>
      </c>
      <c r="B13" s="855">
        <f>IF(ISNUMBER(NºAsuntos!G13/NºAsuntos!E13),NºAsuntos!G13/NºAsuntos!E13," - ")</f>
        <v>0.74415405777166432</v>
      </c>
      <c r="C13" s="856">
        <f>IF(ISNUMBER(NºAsuntos!I13/NºAsuntos!G13),NºAsuntos!I13/NºAsuntos!G13," - ")</f>
        <v>2.0720887245841033</v>
      </c>
      <c r="D13" s="857">
        <f>IF(ISNUMBER('Resol  Asuntos'!D13/NºAsuntos!G13),'Resol  Asuntos'!D13/NºAsuntos!G13," - ")</f>
        <v>0.29020332717190389</v>
      </c>
      <c r="E13" s="858">
        <f>IF(ISNUMBER((NºAsuntos!C13+NºAsuntos!E13)/NºAsuntos!G13),(NºAsuntos!C13+NºAsuntos!E13)/NºAsuntos!G13," - ")</f>
        <v>3.0720887245841033</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0.79130434782608694</v>
      </c>
      <c r="C17" s="442">
        <f>IF(ISNUMBER(NºAsuntos!I17/NºAsuntos!G17),NºAsuntos!I17/NºAsuntos!G17," - ")</f>
        <v>0.72998430141287285</v>
      </c>
      <c r="D17" s="443">
        <f>IF(ISNUMBER('Resol  Asuntos'!D17/NºAsuntos!G17),'Resol  Asuntos'!D17/NºAsuntos!G17," - ")</f>
        <v>0.11616954474097331</v>
      </c>
      <c r="E17" s="444">
        <f>IF(ISNUMBER((NºAsuntos!C17+NºAsuntos!E17)/NºAsuntos!G17),(NºAsuntos!C17+NºAsuntos!E17)/NºAsuntos!G17," - ")</f>
        <v>1.7017268445839875</v>
      </c>
      <c r="G17" s="462"/>
    </row>
    <row r="18" spans="1:7" ht="21.75" thickBot="1">
      <c r="A18" s="401" t="str">
        <f>Datos!A18</f>
        <v>Sección De Violencia sobre la Mujer del TI</v>
      </c>
      <c r="B18" s="441">
        <f>IF(ISNUMBER(NºAsuntos!G18/NºAsuntos!E18),NºAsuntos!G18/NºAsuntos!E18," - ")</f>
        <v>1.131578947368421</v>
      </c>
      <c r="C18" s="442">
        <f>IF(ISNUMBER(NºAsuntos!I18/NºAsuntos!G18),NºAsuntos!I18/NºAsuntos!G18," - ")</f>
        <v>0.11627906976744186</v>
      </c>
      <c r="D18" s="443">
        <f>IF(ISNUMBER('Resol  Asuntos'!D18/NºAsuntos!G18),'Resol  Asuntos'!D18/NºAsuntos!G18," - ")</f>
        <v>0.58139534883720934</v>
      </c>
      <c r="E18" s="444">
        <f>IF(ISNUMBER((NºAsuntos!C18+NºAsuntos!E18)/NºAsuntos!G18),(NºAsuntos!C18+NºAsuntos!E18)/NºAsuntos!G18," - ")</f>
        <v>1.0232558139534884</v>
      </c>
      <c r="G18" s="462"/>
    </row>
    <row r="19" spans="1:7" ht="14.25" thickTop="1" thickBot="1">
      <c r="A19" s="845" t="str">
        <f>Datos!A19</f>
        <v>TOTAL</v>
      </c>
      <c r="B19" s="855">
        <f>IF(ISNUMBER(NºAsuntos!G19/NºAsuntos!E19),NºAsuntos!G19/NºAsuntos!E19," - ")</f>
        <v>0.80664294187425856</v>
      </c>
      <c r="C19" s="856">
        <f>IF(ISNUMBER(NºAsuntos!I19/NºAsuntos!G19),NºAsuntos!I19/NºAsuntos!G19," - ")</f>
        <v>0.69117647058823528</v>
      </c>
      <c r="D19" s="859">
        <f>IF(ISNUMBER('Resol  Asuntos'!D19/NºAsuntos!G19),'Resol  Asuntos'!D19/NºAsuntos!G19," - ")</f>
        <v>0.14558823529411766</v>
      </c>
      <c r="E19" s="858">
        <f>IF(ISNUMBER((NºAsuntos!C19+NºAsuntos!E19)/NºAsuntos!G19),(NºAsuntos!C19+NºAsuntos!E19)/NºAsuntos!G19," - ")</f>
        <v>1.6588235294117648</v>
      </c>
      <c r="G19" s="462"/>
    </row>
    <row r="20" spans="1:7" ht="15.75" customHeight="1" thickTop="1" thickBot="1">
      <c r="A20" s="790" t="str">
        <f>Datos!A20</f>
        <v>TOTAL JURISDICCIONES</v>
      </c>
      <c r="B20" s="805">
        <f>IF(ISNUMBER(NºAsuntos!G20/NºAsuntos!E20),NºAsuntos!G20/NºAsuntos!E20," - ")</f>
        <v>0.7777070063694268</v>
      </c>
      <c r="C20" s="806">
        <f>IF(ISNUMBER(NºAsuntos!I20/NºAsuntos!G20),NºAsuntos!I20/NºAsuntos!G20," - ")</f>
        <v>1.303030303030303</v>
      </c>
      <c r="D20" s="807">
        <f>IF(ISNUMBER('Resol  Asuntos'!D20/NºAsuntos!G20),'Resol  Asuntos'!D20/NºAsuntos!G20," - ")</f>
        <v>0.20966420966420968</v>
      </c>
      <c r="E20" s="808">
        <f>IF(ISNUMBER((NºAsuntos!C20+NºAsuntos!E20)/NºAsuntos!G20),(NºAsuntos!C20+NºAsuntos!E20)/NºAsuntos!G20," - ")</f>
        <v>2.2850122850122849</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FcwE9yJWuqWIcEo5lJwywzgJrWjKtaRw+U4uD4aoA9ucveUTTfhfmIZLeF2JOGAVrQnTV1dZHo4R1xJIosHQTQ==" saltValue="W9me9iYtGwSmZ3uYqUBh8Q=="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ARAGON</v>
      </c>
      <c r="G2" s="262"/>
      <c r="H2" s="261"/>
      <c r="I2" s="261"/>
      <c r="J2" s="261"/>
      <c r="K2" s="261"/>
      <c r="L2" s="261" t="str">
        <f>Criterios!A10 &amp;"  "&amp;Criterios!B10</f>
        <v>Provincias  TERUEL</v>
      </c>
      <c r="N2" s="261" t="str">
        <f>Criterios!A11 &amp;"  "&amp;Criterios!B11</f>
        <v>Resumenes por Partidos Judiciales  TERUEL</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4</v>
      </c>
      <c r="G10" s="332">
        <f>IF(ISNUMBER(Datos!I10),Datos!I10," - ")</f>
        <v>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v>
      </c>
      <c r="X10" s="225">
        <f>IF(ISNUMBER(Datos!Q10),Datos!Q10," - ")</f>
        <v>0</v>
      </c>
      <c r="Y10" s="333">
        <f t="shared" ref="Y10:Y12" si="0">SUM(W10:X10)</f>
        <v>1</v>
      </c>
      <c r="Z10" s="334" t="str">
        <f>IF(ISNUMBER(Datos!CC10),Datos!CC10," - ")</f>
        <v xml:space="preserve"> - </v>
      </c>
      <c r="AA10" s="331">
        <f>IF(ISNUMBER(Datos!L10),Datos!L10,"-")</f>
        <v>4</v>
      </c>
      <c r="AB10" s="333">
        <f>IF(ISNUMBER(Datos!R10),Datos!R10," - ")</f>
        <v>3</v>
      </c>
      <c r="AC10" s="333">
        <f t="shared" ref="AC10:AC12" si="1">IF(ISNUMBER(AA10+AB10),AA10+AB10," - ")</f>
        <v>7</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f>IF(ISNUMBER(NºAsuntos!G10/NºAsuntos!E10),NºAsuntos!G10/NºAsuntos!E10," - ")</f>
        <v>1</v>
      </c>
      <c r="AM10" s="259">
        <f>IF(ISNUMBER(((NºAsuntos!I10/NºAsuntos!G10)*11)/factor_trimestre),((NºAsuntos!I10/NºAsuntos!G10)*11)/factor_trimestre," - ")</f>
        <v>12</v>
      </c>
      <c r="AN10" s="243">
        <f>IF(ISNUMBER('Resol  Asuntos'!D10/NºAsuntos!G10),'Resol  Asuntos'!D10/NºAsuntos!G10," - ")</f>
        <v>1</v>
      </c>
      <c r="AO10" s="244">
        <f>IF(ISNUMBER((NºAsuntos!C10+NºAsuntos!E10)/NºAsuntos!G10),(NºAsuntos!C10+NºAsuntos!E10)/NºAsuntos!G10," - ")</f>
        <v>5</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247</v>
      </c>
      <c r="C12" s="7" t="str">
        <f>Datos!A12</f>
        <v xml:space="preserve">Sección Civil y de Inst. TI                      </v>
      </c>
      <c r="D12" s="7"/>
      <c r="E12" s="1020">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150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38</v>
      </c>
      <c r="Y12" s="333">
        <f t="shared" si="0"/>
        <v>38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1684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156</v>
      </c>
      <c r="AJ12" s="228" t="str">
        <f>IF(ISNUMBER(Datos!BW12),Datos!BW12," - ")</f>
        <v xml:space="preserve"> - </v>
      </c>
      <c r="AK12" s="227" t="str">
        <f>IF(ISNUMBER(Datos!BX12),Datos!BX12," - ")</f>
        <v xml:space="preserve"> - </v>
      </c>
      <c r="AL12" s="242">
        <f>IF(ISNUMBER(NºAsuntos!G12/NºAsuntos!E12),NºAsuntos!G12/NºAsuntos!E12," - ")</f>
        <v>0.74380165289256195</v>
      </c>
      <c r="AM12" s="259">
        <f>IF(ISNUMBER(((NºAsuntos!I12/NºAsuntos!G12)*11)/factor_trimestre),((NºAsuntos!I12/NºAsuntos!G12)*11)/factor_trimestre," - ")</f>
        <v>6.2055555555555557</v>
      </c>
      <c r="AN12" s="243">
        <f>IF(ISNUMBER('Resol  Asuntos'!D12/NºAsuntos!G12),'Resol  Asuntos'!D12/NºAsuntos!G12," - ")</f>
        <v>0.28888888888888886</v>
      </c>
      <c r="AO12" s="244">
        <f>IF(ISNUMBER((NºAsuntos!C12+NºAsuntos!E12)/NºAsuntos!G12),(NºAsuntos!C12+NºAsuntos!E12)/NºAsuntos!G12," - ")</f>
        <v>3.0685185185185184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3</v>
      </c>
      <c r="F13" s="862">
        <f t="shared" si="3"/>
        <v>4</v>
      </c>
      <c r="G13" s="863">
        <f t="shared" si="3"/>
        <v>4</v>
      </c>
      <c r="H13" s="862">
        <f t="shared" si="3"/>
        <v>0</v>
      </c>
      <c r="I13" s="864">
        <f t="shared" si="3"/>
        <v>0</v>
      </c>
      <c r="J13" s="864">
        <f t="shared" si="3"/>
        <v>0</v>
      </c>
      <c r="K13" s="864">
        <f t="shared" si="3"/>
        <v>0</v>
      </c>
      <c r="L13" s="864">
        <f t="shared" si="3"/>
        <v>150</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1</v>
      </c>
      <c r="X13" s="864">
        <f t="shared" si="4"/>
        <v>38</v>
      </c>
      <c r="Y13" s="865">
        <f t="shared" si="4"/>
        <v>39</v>
      </c>
      <c r="Z13" s="865">
        <f t="shared" si="4"/>
        <v>0</v>
      </c>
      <c r="AA13" s="865">
        <f t="shared" si="4"/>
        <v>4</v>
      </c>
      <c r="AB13" s="865">
        <f t="shared" si="4"/>
        <v>1687</v>
      </c>
      <c r="AC13" s="865">
        <f t="shared" si="4"/>
        <v>7</v>
      </c>
      <c r="AD13" s="865">
        <f t="shared" si="4"/>
        <v>0</v>
      </c>
      <c r="AE13" s="869">
        <f t="shared" si="4"/>
        <v>0</v>
      </c>
      <c r="AF13" s="862">
        <f t="shared" si="4"/>
        <v>0</v>
      </c>
      <c r="AG13" s="870">
        <f t="shared" si="4"/>
        <v>0</v>
      </c>
      <c r="AH13" s="867">
        <f t="shared" si="4"/>
        <v>0</v>
      </c>
      <c r="AI13" s="862">
        <f t="shared" si="4"/>
        <v>157</v>
      </c>
      <c r="AJ13" s="864">
        <f t="shared" si="4"/>
        <v>0</v>
      </c>
      <c r="AK13" s="867">
        <f>SUBTOTAL(9,AK9:AK12)</f>
        <v>0</v>
      </c>
      <c r="AL13" s="871">
        <f>IF(ISNUMBER(NºAsuntos!G13/NºAsuntos!E13),NºAsuntos!G13/NºAsuntos!E13," - ")</f>
        <v>0.74415405777166432</v>
      </c>
      <c r="AM13" s="871">
        <f>IF(ISNUMBER(((NºAsuntos!I13/NºAsuntos!G13)*11)/factor_trimestre),((NºAsuntos!I13/NºAsuntos!G13)*11)/factor_trimestre," - ")</f>
        <v>6.2162661737523104</v>
      </c>
      <c r="AN13" s="872">
        <f>IF(ISNUMBER('Resol  Asuntos'!D13/NºAsuntos!G13),'Resol  Asuntos'!D13/NºAsuntos!G13," - ")</f>
        <v>0.29020332717190389</v>
      </c>
      <c r="AO13" s="873">
        <f>IF(ISNUMBER((NºAsuntos!C13+NºAsuntos!E13)/NºAsuntos!G13),(NºAsuntos!C13+NºAsuntos!E13)/NºAsuntos!G13," - ")</f>
        <v>3.0720887245841033</v>
      </c>
      <c r="AP13" s="874" t="str">
        <f t="shared" si="2"/>
        <v xml:space="preserve"> - </v>
      </c>
      <c r="AQ13" s="874">
        <f>IF(ISNUMBER((H13-W13+K13)/(F13)),(H13-W13+K13)/(F13)," - ")</f>
        <v>-0.25</v>
      </c>
      <c r="AR13" s="875">
        <f>IF(ISNUMBER((Datos!P13-Datos!Q13)/(Datos!R13-Datos!P13+Datos!Q13)),(Datos!P13-Datos!Q13)/(Datos!R13-Datos!P13+Datos!Q13)," - ")</f>
        <v>7.1111111111111111E-2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3</v>
      </c>
      <c r="B17" s="274" t="s">
        <v>397</v>
      </c>
      <c r="C17" s="159" t="str">
        <f>Datos!A17</f>
        <v xml:space="preserve">Sección Civil y de Inst. TI                      </v>
      </c>
      <c r="D17" s="159"/>
      <c r="E17" s="1020">
        <f>IF(ISNUMBER(Datos!AQ17),Datos!AQ17," - ")</f>
        <v>3</v>
      </c>
      <c r="F17" s="224">
        <f>IF(ISNUMBER(AA17+W17-Datos!J17-K17),AA17+W17-Datos!J17-K17," - ")</f>
        <v>297</v>
      </c>
      <c r="G17" s="332">
        <f>IF(ISNUMBER(IF(D_I="SI",Datos!I17,Datos!I17+Datos!AC17)),IF(D_I="SI",Datos!I17,Datos!I17+Datos!AC17)," - ")</f>
        <v>279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8</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637</v>
      </c>
      <c r="X17" s="225">
        <f>IF(ISNUMBER(Datos!Q17),Datos!Q17," - ")</f>
        <v>13</v>
      </c>
      <c r="Y17" s="333">
        <f t="shared" ref="Y17:Y18" si="9">SUM(W17:X17)</f>
        <v>650</v>
      </c>
      <c r="Z17" s="334" t="str">
        <f>IF(ISNUMBER(Datos!CC17),Datos!CC17," - ")</f>
        <v xml:space="preserve"> - </v>
      </c>
      <c r="AA17" s="331">
        <f>IF(ISNUMBER(IF(D_I="SI",Datos!L17,Datos!L17+Datos!AF17)),IF(D_I="SI",Datos!L17,Datos!L17+Datos!AF17)," - ")</f>
        <v>465</v>
      </c>
      <c r="AB17" s="333">
        <f>IF(ISNUMBER(Datos!R17),Datos!R17," - ")</f>
        <v>67</v>
      </c>
      <c r="AC17" s="333">
        <f t="shared" si="6"/>
        <v>532</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74</v>
      </c>
      <c r="AJ17" s="230" t="str">
        <f>IF(ISNUMBER(Datos!BW17),Datos!BW17," - ")</f>
        <v xml:space="preserve"> - </v>
      </c>
      <c r="AK17" s="231" t="str">
        <f>IF(ISNUMBER(Datos!BX17),Datos!BX17," - ")</f>
        <v xml:space="preserve"> - </v>
      </c>
      <c r="AL17" s="242">
        <f>IF(ISNUMBER(NºAsuntos!G17/NºAsuntos!E17),NºAsuntos!G17/NºAsuntos!E17," - ")</f>
        <v>0.79130434782608694</v>
      </c>
      <c r="AM17" s="259">
        <f>IF(ISNUMBER(((NºAsuntos!I17/NºAsuntos!G17)*11)/factor_trimestre),((NºAsuntos!I17/NºAsuntos!G17)*11)/factor_trimestre," - ")</f>
        <v>2.1899529042386185</v>
      </c>
      <c r="AN17" s="243">
        <f>IF(ISNUMBER('Resol  Asuntos'!D17/NºAsuntos!G17),'Resol  Asuntos'!D17/NºAsuntos!G17," - ")</f>
        <v>0.11616954474097331</v>
      </c>
      <c r="AO17" s="244">
        <f>IF(ISNUMBER((NºAsuntos!C17+NºAsuntos!E17)/NºAsuntos!G17),(NºAsuntos!C17+NºAsuntos!E17)/NºAsuntos!G17," - ")</f>
        <v>1.7017268445839875</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6</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43</v>
      </c>
      <c r="X18" s="225">
        <f>IF(ISNUMBER(Datos!Q18),Datos!Q18," - ")</f>
        <v>0</v>
      </c>
      <c r="Y18" s="333">
        <f t="shared" si="9"/>
        <v>43</v>
      </c>
      <c r="Z18" s="334" t="str">
        <f>IF(ISNUMBER(Datos!CC18),Datos!CC18," - ")</f>
        <v xml:space="preserve"> - </v>
      </c>
      <c r="AA18" s="331">
        <f>IF(ISNUMBER(Datos!L18),Datos!L18,"-")</f>
        <v>5</v>
      </c>
      <c r="AB18" s="333">
        <f>IF(ISNUMBER(Datos!R18),Datos!R18," - ")</f>
        <v>5</v>
      </c>
      <c r="AC18" s="333">
        <f t="shared" si="6"/>
        <v>10</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25</v>
      </c>
      <c r="AJ18" s="230" t="str">
        <f>IF(ISNUMBER(Datos!BW18),Datos!BW18," - ")</f>
        <v xml:space="preserve"> - </v>
      </c>
      <c r="AK18" s="231" t="str">
        <f>IF(ISNUMBER(Datos!BX18),Datos!BX18," - ")</f>
        <v xml:space="preserve"> - </v>
      </c>
      <c r="AL18" s="242">
        <f>IF(ISNUMBER(NºAsuntos!G18/NºAsuntos!E18),NºAsuntos!G18/NºAsuntos!E18," - ")</f>
        <v>1.131578947368421</v>
      </c>
      <c r="AM18" s="259">
        <f>IF(ISNUMBER(((NºAsuntos!I18/NºAsuntos!G18)*11)/factor_trimestre),((NºAsuntos!I18/NºAsuntos!G18)*11)/factor_trimestre," - ")</f>
        <v>0.34883720930232559</v>
      </c>
      <c r="AN18" s="243">
        <f>IF(ISNUMBER('Resol  Asuntos'!D18/NºAsuntos!G18),'Resol  Asuntos'!D18/NºAsuntos!G18," - ")</f>
        <v>0.58139534883720934</v>
      </c>
      <c r="AO18" s="244">
        <f>IF(ISNUMBER((NºAsuntos!C18+NºAsuntos!E18)/NºAsuntos!G18),(NºAsuntos!C18+NºAsuntos!E18)/NºAsuntos!G18," - ")</f>
        <v>1.0232558139534884</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3</v>
      </c>
      <c r="F19" s="862">
        <f>SUBTOTAL(9,F14:F18)</f>
        <v>297</v>
      </c>
      <c r="G19" s="863">
        <f>SUBTOTAL(9,G15:G18)</f>
        <v>285</v>
      </c>
      <c r="H19" s="862">
        <f t="shared" ref="H19:O19" si="12">SUBTOTAL(9,H14:H18)</f>
        <v>0</v>
      </c>
      <c r="I19" s="864">
        <f t="shared" si="12"/>
        <v>0</v>
      </c>
      <c r="J19" s="864">
        <f t="shared" si="12"/>
        <v>0</v>
      </c>
      <c r="K19" s="864">
        <f t="shared" si="12"/>
        <v>0</v>
      </c>
      <c r="L19" s="864">
        <f t="shared" si="12"/>
        <v>8</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680</v>
      </c>
      <c r="X19" s="864">
        <f t="shared" si="13"/>
        <v>13</v>
      </c>
      <c r="Y19" s="865">
        <f t="shared" si="13"/>
        <v>693</v>
      </c>
      <c r="Z19" s="865">
        <f t="shared" si="13"/>
        <v>0</v>
      </c>
      <c r="AA19" s="865">
        <f t="shared" si="13"/>
        <v>470</v>
      </c>
      <c r="AB19" s="865">
        <f t="shared" si="13"/>
        <v>72</v>
      </c>
      <c r="AC19" s="865">
        <f t="shared" si="13"/>
        <v>542</v>
      </c>
      <c r="AD19" s="865">
        <f t="shared" si="13"/>
        <v>0</v>
      </c>
      <c r="AE19" s="869">
        <f t="shared" si="13"/>
        <v>0</v>
      </c>
      <c r="AF19" s="862">
        <f t="shared" si="13"/>
        <v>0</v>
      </c>
      <c r="AG19" s="870">
        <f t="shared" si="13"/>
        <v>0</v>
      </c>
      <c r="AH19" s="867">
        <f t="shared" si="13"/>
        <v>0</v>
      </c>
      <c r="AI19" s="862">
        <f t="shared" si="13"/>
        <v>99</v>
      </c>
      <c r="AJ19" s="864">
        <f t="shared" si="13"/>
        <v>0</v>
      </c>
      <c r="AK19" s="867">
        <f t="shared" si="13"/>
        <v>0</v>
      </c>
      <c r="AL19" s="871">
        <f>IF(ISNUMBER(NºAsuntos!G19/NºAsuntos!E19),NºAsuntos!G19/NºAsuntos!E19," - ")</f>
        <v>0.80664294187425856</v>
      </c>
      <c r="AM19" s="871">
        <f>IF(ISNUMBER(((NºAsuntos!I19/NºAsuntos!G19)*11)/factor_trimestre),((NºAsuntos!I19/NºAsuntos!G19)*11)/factor_trimestre," - ")</f>
        <v>2.0735294117647061</v>
      </c>
      <c r="AN19" s="872">
        <f>IF(ISNUMBER('Resol  Asuntos'!D19/NºAsuntos!G19),'Resol  Asuntos'!D19/NºAsuntos!G19," - ")</f>
        <v>0.14558823529411766</v>
      </c>
      <c r="AO19" s="873">
        <f>IF(ISNUMBER((NºAsuntos!C19+NºAsuntos!E19)/NºAsuntos!G19),(NºAsuntos!C19+NºAsuntos!E19)/NºAsuntos!G19," - ")</f>
        <v>1.6588235294117648</v>
      </c>
      <c r="AP19" s="874" t="str">
        <f t="shared" si="2"/>
        <v xml:space="preserve"> - </v>
      </c>
      <c r="AQ19" s="874">
        <f>IF(ISNUMBER((H19-W19+K19)/(F19)),(H19-W19+K19)/(F19)," - ")</f>
        <v>-2.2895622895622894</v>
      </c>
      <c r="AR19" s="875">
        <f>IF(ISNUMBER((Datos!P19-Datos!Q19)/(Datos!R19-Datos!P19+Datos!Q19)),(Datos!P19-Datos!Q19)/(Datos!R19-Datos!P19+Datos!Q19)," - ")</f>
        <v>-6.4935064935064929E-2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6</v>
      </c>
      <c r="F20" s="817">
        <f t="shared" si="15"/>
        <v>301</v>
      </c>
      <c r="G20" s="818">
        <f t="shared" si="15"/>
        <v>289</v>
      </c>
      <c r="H20" s="817">
        <f t="shared" si="15"/>
        <v>0</v>
      </c>
      <c r="I20" s="819">
        <f t="shared" si="15"/>
        <v>0</v>
      </c>
      <c r="J20" s="819">
        <f t="shared" si="15"/>
        <v>0</v>
      </c>
      <c r="K20" s="878">
        <f t="shared" si="15"/>
        <v>0</v>
      </c>
      <c r="L20" s="819">
        <f t="shared" si="15"/>
        <v>158</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681</v>
      </c>
      <c r="X20" s="818">
        <f t="shared" si="16"/>
        <v>51</v>
      </c>
      <c r="Y20" s="825">
        <f t="shared" si="16"/>
        <v>732</v>
      </c>
      <c r="Z20" s="825">
        <f t="shared" si="16"/>
        <v>0</v>
      </c>
      <c r="AA20" s="825">
        <f t="shared" si="16"/>
        <v>474</v>
      </c>
      <c r="AB20" s="825">
        <f t="shared" si="16"/>
        <v>1759</v>
      </c>
      <c r="AC20" s="825">
        <f t="shared" si="16"/>
        <v>549</v>
      </c>
      <c r="AD20" s="825">
        <f t="shared" si="16"/>
        <v>0</v>
      </c>
      <c r="AE20" s="827">
        <f t="shared" si="16"/>
        <v>0</v>
      </c>
      <c r="AF20" s="828">
        <f t="shared" si="16"/>
        <v>0</v>
      </c>
      <c r="AG20" s="829">
        <f t="shared" si="16"/>
        <v>0</v>
      </c>
      <c r="AH20" s="827">
        <f t="shared" si="16"/>
        <v>0</v>
      </c>
      <c r="AI20" s="817">
        <f t="shared" si="16"/>
        <v>256</v>
      </c>
      <c r="AJ20" s="817">
        <f t="shared" si="16"/>
        <v>0</v>
      </c>
      <c r="AK20" s="827">
        <f t="shared" si="16"/>
        <v>0</v>
      </c>
      <c r="AL20" s="881">
        <f>IF(ISNUMBER(NºAsuntos!G20/NºAsuntos!E20),NºAsuntos!G20/NºAsuntos!E20," - ")</f>
        <v>0.7777070063694268</v>
      </c>
      <c r="AM20" s="882">
        <f>IF(ISNUMBER(((NºAsuntos!I20/NºAsuntos!G20)*11)/factor_trimestre),((NºAsuntos!I20/NºAsuntos!G20)*11)/factor_trimestre," - ")</f>
        <v>3.9090909090909087</v>
      </c>
      <c r="AN20" s="882">
        <f>IF(ISNUMBER('Resol  Asuntos'!D20/NºAsuntos!G20),'Resol  Asuntos'!D20/NºAsuntos!G20," - ")</f>
        <v>0.20966420966420968</v>
      </c>
      <c r="AO20" s="883">
        <f>IF(ISNUMBER((NºAsuntos!C20+NºAsuntos!E20)/NºAsuntos!G20),(NºAsuntos!C20+NºAsuntos!E20)/NºAsuntos!G20," - ")</f>
        <v>2.2850122850122849</v>
      </c>
      <c r="AP20" s="884" t="str">
        <f t="shared" si="2"/>
        <v xml:space="preserve"> - </v>
      </c>
      <c r="AQ20" s="885">
        <f>IF(OR(ISNUMBER(FIND("01",Criterios!A8,1)),ISNUMBER(FIND("02",Criterios!A8,1)),ISNUMBER(FIND("03",Criterios!A8,1)),ISNUMBER(FIND("04",Criterios!A8,1))),(I20-W20+K20)/(F20-K20),(H20-W20+K20)/(F20-K20))</f>
        <v>-2.2624584717607972</v>
      </c>
      <c r="AR20" s="886">
        <f>IF(ISNUMBER((Datos!P20-Datos!Q20)/(Datos!R20-Datos!P20+Datos!Q20)),(Datos!P20-Datos!Q20)/(Datos!R20-Datos!P20+Datos!Q20)," - ")</f>
        <v>6.4769975786924935E-2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115.6</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1.5491933384829668</v>
      </c>
      <c r="F22" s="251">
        <f>IF(ISNUMBER(STDEV(F8:F19)),STDEV(F8:F19),"-")</f>
        <v>169.16362887256034</v>
      </c>
      <c r="G22" s="252">
        <f>IF(ISNUMBER(STDEV(G8:G19)),STDEV(G8:G19),"-")</f>
        <v>151.91872827271823</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353.20362399046815</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65.111186954828796</v>
      </c>
      <c r="AJ22" s="251">
        <f t="shared" si="20"/>
        <v>0</v>
      </c>
      <c r="AK22" s="253">
        <f t="shared" si="20"/>
        <v>0</v>
      </c>
      <c r="AL22" s="248">
        <f t="shared" si="20"/>
        <v>0.15955740999104229</v>
      </c>
      <c r="AM22" s="249">
        <f t="shared" si="20"/>
        <v>4.2396013296860531</v>
      </c>
      <c r="AN22" s="249">
        <f t="shared" si="20"/>
        <v>0.33541253954327571</v>
      </c>
      <c r="AO22" s="250">
        <f t="shared" si="20"/>
        <v>1.4408508030513165</v>
      </c>
      <c r="AP22" s="290" t="str">
        <f t="shared" si="20"/>
        <v>-</v>
      </c>
      <c r="AQ22" s="291">
        <f t="shared" si="20"/>
        <v>1.4421883256018555</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HqbyYq54J96VDlF2vJcI8QJY4II6bXUMN+GVAoFGeIWE5XAceCCFjM6EIALAT3JemgCJxGJp4d4c9eaUD5WPUg==" saltValue="3Q/z7TOMy6tWRbSHl60pb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ARAGON</v>
      </c>
      <c r="E2" s="262"/>
    </row>
    <row r="3" spans="2:20" ht="17.25" customHeight="1">
      <c r="C3" s="266"/>
      <c r="D3" s="261" t="str">
        <f>Criterios!A10 &amp;"  "&amp;Criterios!B10</f>
        <v>Provincias  TERUEL</v>
      </c>
      <c r="E3" s="262"/>
    </row>
    <row r="4" spans="2:20" ht="17.25" customHeight="1" thickBot="1">
      <c r="D4" s="261" t="str">
        <f>Criterios!A11 &amp;"  "&amp;Criterios!B11</f>
        <v>Resumenes por Partidos Judiciales  TERUEL</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-0.2</v>
      </c>
      <c r="E10" s="347">
        <f>IF(ISNUMBER((Datos!J10-Datos!T10)/Datos!T10),(Datos!J10-Datos!T10)/Datos!T10," - ")</f>
        <v>-0.5</v>
      </c>
      <c r="F10" s="347">
        <f>IF(ISNUMBER((Datos!K10-Datos!U10)/Datos!U10),(Datos!K10-Datos!U10)/Datos!U10," - ")</f>
        <v>0</v>
      </c>
      <c r="G10" s="348">
        <f>IF(ISNUMBER((Datos!L10-Datos!V10)/Datos!V10),(Datos!L10-Datos!V10)/Datos!V10," - ")</f>
        <v>-0.33333333333333331</v>
      </c>
      <c r="H10" s="229">
        <f>IF(ISNUMBER((Datos!M10-Datos!W10)/Datos!W10),(Datos!M10-Datos!W10)/Datos!W10," - ")</f>
        <v>0</v>
      </c>
      <c r="I10" s="349">
        <f>IF(ISNUMBER((Tasas!C10-Datos!BE10)/Datos!BE10),(Tasas!C10-Datos!BE10)/Datos!BE10," - ")</f>
        <v>-0.33333333333333331</v>
      </c>
      <c r="J10" s="348">
        <f>IF(ISNUMBER((Tasas!D10-Datos!BF10)/Datos!BF10),(Tasas!D10-Datos!BF10)/Datos!BF10," - ")</f>
        <v>0</v>
      </c>
      <c r="K10" s="350">
        <f>IF(ISNUMBER((Tasas!E10-Datos!BG10)/Datos!BG10),(Tasas!E10-Datos!BG10)/Datos!BG10," - ")</f>
        <v>-0.2857142857142857</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-0.31578947368421051</v>
      </c>
      <c r="I12" s="349">
        <f>IF(ISNUMBER((Tasas!C12-Datos!BE12)/Datos!BE12),(Tasas!C12-Datos!BE12)/Datos!BE12," - ")</f>
        <v>6.9055383228611489E-2</v>
      </c>
      <c r="J12" s="348">
        <f>IF(ISNUMBER((Tasas!D12-Datos!BF12)/Datos!BF12),(Tasas!D12-Datos!BF12)/Datos!BF12," - ")</f>
        <v>-0.28076628352490429</v>
      </c>
      <c r="K12" s="350">
        <f>IF(ISNUMBER((Tasas!E12-Datos!BG12)/Datos!BG12),(Tasas!E12-Datos!BG12)/Datos!BG12," - ")</f>
        <v>4.5526366385262036E-2</v>
      </c>
      <c r="M12" t="e">
        <f>IF(Monitorios="SI",Datos!CE12,0)</f>
        <v>#REF!</v>
      </c>
      <c r="N12" t="e">
        <f>IF(Monitorios="SI",Datos!CF12,0)</f>
        <v>#REF!</v>
      </c>
      <c r="O12" t="e">
        <f>IF(Monitorios="SI",Datos!CG12,0)</f>
        <v>#REF!</v>
      </c>
      <c r="P12" t="e">
        <f>IF(Monitorios="SI",Datos!CH12,0)</f>
        <v>#REF!</v>
      </c>
      <c r="Q12">
        <f>IF(J_V="SI",0,Datos!AG12)</f>
        <v>26</v>
      </c>
      <c r="R12">
        <f>IF(J_V="SI",0,Datos!AH12)</f>
        <v>42</v>
      </c>
      <c r="S12">
        <f>IF(J_V="SI",0,Datos!AI12)</f>
        <v>44</v>
      </c>
      <c r="T12">
        <f>IF(J_V="SI",0,Datos!AJ12)</f>
        <v>24</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-0.31441048034934499</v>
      </c>
      <c r="I13" s="356">
        <f>IF(ISNUMBER((Tasas!C13-Datos!BE13)/Datos!BE13),(Tasas!C13-Datos!BE13)/Datos!BE13," - ")</f>
        <v>6.7797682020175845E-2</v>
      </c>
      <c r="J13" s="354">
        <f>IF(ISNUMBER((Tasas!D13-Datos!BF13)/Datos!BF13),(Tasas!D13-Datos!BF13)/Datos!BF13," - ")</f>
        <v>-0.27897936238733162</v>
      </c>
      <c r="K13" s="357">
        <f>IF(ISNUMBER((Tasas!E13-Datos!BG13)/Datos!BG13),(Tasas!E13-Datos!BG13)/Datos!BG13," - ")</f>
        <v>4.4741367767782945E-2</v>
      </c>
      <c r="M13" t="e">
        <f>IF(Monitorios="SI",Datos!CE13,0)</f>
        <v>#REF!</v>
      </c>
      <c r="N13" t="e">
        <f>IF(Monitorios="SI",Datos!CF13,0)</f>
        <v>#REF!</v>
      </c>
      <c r="O13" t="e">
        <f>IF(Monitorios="SI",Datos!CG13,0)</f>
        <v>#REF!</v>
      </c>
      <c r="P13" t="e">
        <f>IF(Monitorios="SI",Datos!CH13,0)</f>
        <v>#REF!</v>
      </c>
      <c r="Q13">
        <f>IF(J_V="SI",0,Datos!AG13)</f>
        <v>26</v>
      </c>
      <c r="R13">
        <f>IF(J_V="SI",0,Datos!AH13)</f>
        <v>42</v>
      </c>
      <c r="S13">
        <f>IF(J_V="SI",0,Datos!AI13)</f>
        <v>44</v>
      </c>
      <c r="T13">
        <f>IF(J_V="SI",0,Datos!AJ13)</f>
        <v>24</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-0.12264150943396226</v>
      </c>
      <c r="E17" s="347">
        <f>IF(ISNUMBER(
   IF(D_I="SI",(Datos!J17-Datos!T17)/Datos!T17,(Datos!J17+Datos!AD17-(Datos!T17+Datos!AL17))/(Datos!T17+Datos!AL17))
     ),IF(D_I="SI",(Datos!J17-Datos!T17)/Datos!T17,(Datos!J17+Datos!AD17-(Datos!T17+Datos!AL17))/(Datos!T17+Datos!AL17))," - ")</f>
        <v>5.3664921465968587E-2</v>
      </c>
      <c r="F17" s="347">
        <f>IF(ISNUMBER(
   IF(D_I="SI",(Datos!K17-Datos!U17)/Datos!U17,(Datos!K17+Datos!AE17-(Datos!U17+Datos!AM17))/(Datos!U17+Datos!AM17))
     ),IF(D_I="SI",(Datos!K17-Datos!U17)/Datos!U17,(Datos!K17+Datos!AE17-(Datos!U17+Datos!AM17))/(Datos!U17+Datos!AM17))," - ")</f>
        <v>-0.13685636856368563</v>
      </c>
      <c r="G17" s="348">
        <f>IF(ISNUMBER(
   IF(D_I="SI",(Datos!L17-Datos!V17)/Datos!V17,(Datos!L17+Datos!AF17-(Datos!V17+Datos!AN17))/(Datos!V17+Datos!AN17))
     ),IF(D_I="SI",(Datos!L17-Datos!V17)/Datos!V17,(Datos!L17+Datos!AF17-(Datos!V17+Datos!AN17))/(Datos!V17+Datos!AN17))," - ")</f>
        <v>0.30252100840336132</v>
      </c>
      <c r="H17" s="229">
        <f>IF(ISNUMBER((Datos!M17-Datos!W17)/Datos!W17),(Datos!M17-Datos!W17)/Datos!W17," - ")</f>
        <v>0.1044776119402985</v>
      </c>
      <c r="I17" s="349">
        <f>IF(ISNUMBER((Tasas!C17-Datos!BE17)/Datos!BE17),(Tasas!C17-Datos!BE17)/Datos!BE17," - ")</f>
        <v>0.50904317771064467</v>
      </c>
      <c r="J17" s="348">
        <f>IF(ISNUMBER((Tasas!D17-Datos!BF17)/Datos!BF17),(Tasas!D17-Datos!BF17)/Datos!BF17," - ")</f>
        <v>0.27959886595281058</v>
      </c>
      <c r="K17" s="350">
        <f>IF(ISNUMBER((Tasas!E17-Datos!BG17)/Datos!BG17),(Tasas!E17-Datos!BG17)/Datos!BG17," - ")</f>
        <v>0.16069723780312634</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v>
      </c>
      <c r="E18" s="347">
        <f>IF(ISNUMBER(
   IF(D_I="SI",(Datos!J18-Datos!T18)/Datos!T18,(Datos!J18+Datos!AD18-(Datos!T18+Datos!AL18))/(Datos!T18+Datos!AL18))
     ),IF(D_I="SI",(Datos!J18-Datos!T18)/Datos!T18,(Datos!J18+Datos!AD18-(Datos!T18+Datos!AL18))/(Datos!T18+Datos!AL18))," - ")</f>
        <v>0.15151515151515152</v>
      </c>
      <c r="F18" s="347">
        <f>IF(ISNUMBER(
   IF(D_I="SI",(Datos!K18-Datos!U18)/Datos!U18,(Datos!K18+Datos!AE18-(Datos!U18+Datos!AM18))/(Datos!U18+Datos!AM18))
     ),IF(D_I="SI",(Datos!K18-Datos!U18)/Datos!U18,(Datos!K18+Datos!AE18-(Datos!U18+Datos!AM18))/(Datos!U18+Datos!AM18))," - ")</f>
        <v>0.22857142857142856</v>
      </c>
      <c r="G18" s="348">
        <f>IF(ISNUMBER(
   IF(D_I="SI",(Datos!L18-Datos!V18)/Datos!V18,(Datos!L18+Datos!AF18-(Datos!V18+Datos!AN18))/(Datos!V18+Datos!AN18))
     ),IF(D_I="SI",(Datos!L18-Datos!V18)/Datos!V18,(Datos!L18+Datos!AF18-(Datos!V18+Datos!AN18))/(Datos!V18+Datos!AN18))," - ")</f>
        <v>0.25</v>
      </c>
      <c r="H18" s="229">
        <f>IF(ISNUMBER((Datos!M18-Datos!W18)/Datos!W18),(Datos!M18-Datos!W18)/Datos!W18," - ")</f>
        <v>1.0833333333333333</v>
      </c>
      <c r="I18" s="349">
        <f>IF(ISNUMBER((Tasas!C18-Datos!BE18)/Datos!BE18),(Tasas!C18-Datos!BE18)/Datos!BE18," - ")</f>
        <v>1.7441860465116296E-2</v>
      </c>
      <c r="J18" s="348">
        <f>IF(ISNUMBER((Tasas!D18-Datos!BF18)/Datos!BF18),(Tasas!D18-Datos!BF18)/Datos!BF18," - ")</f>
        <v>0.69573643410852726</v>
      </c>
      <c r="K18" s="350">
        <f>IF(ISNUMBER((Tasas!E18-Datos!BG18)/Datos!BG18),(Tasas!E18-Datos!BG18)/Datos!BG18," - ")</f>
        <v>-8.169350029815145E-2</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-0.12037037037037036</v>
      </c>
      <c r="E19" s="353">
        <f>IF(ISNUMBER(
   IF(D_I="SI",(Datos!J19-Datos!T19)/Datos!T19,(Datos!J19+Datos!AD19-(Datos!T19+Datos!AL19))/(Datos!T19+Datos!AL19))
     ),IF(D_I="SI",(Datos!J19-Datos!T19)/Datos!T19,(Datos!J19+Datos!AD19-(Datos!T19+Datos!AL19))/(Datos!T19+Datos!AL19))," - ")</f>
        <v>5.7716436637390213E-2</v>
      </c>
      <c r="F19" s="353">
        <f>IF(ISNUMBER(
   IF(D_I="SI",(Datos!K19-Datos!U19)/Datos!U19,(Datos!K19+Datos!AE19-(Datos!U19+Datos!AM19))/(Datos!U19+Datos!AM19))
     ),IF(D_I="SI",(Datos!K19-Datos!U19)/Datos!U19,(Datos!K19+Datos!AE19-(Datos!U19+Datos!AM19))/(Datos!U19+Datos!AM19))," - ")</f>
        <v>-0.1203104786545925</v>
      </c>
      <c r="G19" s="354">
        <f>IF(ISNUMBER(
   IF(D_I="SI",(Datos!L19-Datos!V19)/Datos!V19,(Datos!L19+Datos!AF19-(Datos!V19+Datos!AN19))/(Datos!V19+Datos!AN19))
     ),IF(D_I="SI",(Datos!L19-Datos!V19)/Datos!V19,(Datos!L19+Datos!AF19-(Datos!V19+Datos!AN19))/(Datos!V19+Datos!AN19))," - ")</f>
        <v>0.30193905817174516</v>
      </c>
      <c r="H19" s="355">
        <f>IF(ISNUMBER((Datos!M19-Datos!W19)/Datos!W19),(Datos!M19-Datos!W19)/Datos!W19," - ")</f>
        <v>0.25316455696202533</v>
      </c>
      <c r="I19" s="356">
        <f>IF(ISNUMBER((Tasas!C19-Datos!BE19)/Datos!BE19),(Tasas!C19-Datos!BE19)/Datos!BE19," - ")</f>
        <v>0.4799983705393514</v>
      </c>
      <c r="J19" s="354">
        <f>IF(ISNUMBER((Tasas!D19-Datos!BF19)/Datos!BF19),(Tasas!D19-Datos!BF19)/Datos!BF19," - ")</f>
        <v>0.42455323901712594</v>
      </c>
      <c r="K19" s="357">
        <f>IF(ISNUMBER((Tasas!E19-Datos!BG19)/Datos!BG19),(Tasas!E19-Datos!BG19)/Datos!BG19," - ")</f>
        <v>0.14386314739990561</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-0.13963328631875882</v>
      </c>
      <c r="E20" s="362">
        <f>IF(ISNUMBER(
   IF(J_V="SI",(Datos!J20-Datos!T20)/Datos!T20,(Datos!J20+Datos!Z20-(Datos!T20+Datos!AH20))/(Datos!T20+Datos!AH20))
     ),IF(J_V="SI",(Datos!J20-Datos!T20)/Datos!T20,(Datos!J20+Datos!Z20-(Datos!T20+Datos!AH20))/(Datos!T20+Datos!AH20))," - ")</f>
        <v>-0.14160743575724438</v>
      </c>
      <c r="F20" s="362">
        <f>IF(ISNUMBER(
   IF(J_V="SI",(Datos!K20-Datos!U20)/Datos!U20,(Datos!K20+Datos!AA20-(Datos!U20+Datos!AI20))/(Datos!U20+Datos!AI20))
     ),IF(J_V="SI",(Datos!K20-Datos!U20)/Datos!U20,(Datos!K20+Datos!AA20-(Datos!U20+Datos!AI20))/(Datos!U20+Datos!AI20))," - ")</f>
        <v>-0.18382352941176472</v>
      </c>
      <c r="G20" s="363">
        <f>IF(ISNUMBER(
   IF(J_V="SI",(Datos!L20-Datos!V20)/Datos!V20,(Datos!L20+Datos!AB20-(Datos!V20+Datos!AJ20))/(Datos!V20+Datos!AJ20))
     ),IF(J_V="SI",(Datos!L20-Datos!V20)/Datos!V20,(Datos!L20+Datos!AB20-(Datos!V20+Datos!AJ20))/(Datos!V20+Datos!AJ20))," - ")</f>
        <v>-9.8072562358276646E-2</v>
      </c>
      <c r="H20" s="364">
        <f>IF(ISNUMBER((Datos!M20-Datos!W20)/Datos!W20),(Datos!M20-Datos!W20)/Datos!W20," - ")</f>
        <v>-0.16883116883116883</v>
      </c>
      <c r="I20" s="361">
        <f>IF(ISNUMBER((Tasas!C20-Datos!BE20)/Datos!BE20),(Tasas!C20-Datos!BE20)/Datos!BE20," - ")</f>
        <v>0.10506424792139069</v>
      </c>
      <c r="J20" s="362">
        <f>IF(ISNUMBER((Tasas!D20-Datos!BF20)/Datos!BF20),(Tasas!D20-Datos!BF20)/Datos!BF20," - ")</f>
        <v>-0.15227660092524947</v>
      </c>
      <c r="K20" s="363">
        <f>IF(ISNUMBER((Tasas!E20-Datos!BG20)/Datos!BG20),(Tasas!E20-Datos!BG20)/Datos!BG20," - ")</f>
        <v>5.2780529220319776E-2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8.25935519827843E-2</v>
      </c>
      <c r="E22" s="277">
        <f t="shared" si="1"/>
        <v>0.29727284644747626</v>
      </c>
      <c r="F22" s="277">
        <f t="shared" si="1"/>
        <v>0.16856724707350779</v>
      </c>
      <c r="G22" s="278">
        <f t="shared" si="1"/>
        <v>0.31005590810977285</v>
      </c>
      <c r="H22" s="284">
        <f t="shared" si="1"/>
        <v>0.5172303972104676</v>
      </c>
      <c r="I22" s="276">
        <f t="shared" si="1"/>
        <v>0.3165290020740727</v>
      </c>
      <c r="J22" s="277">
        <f t="shared" si="1"/>
        <v>0.39534525201673765</v>
      </c>
      <c r="K22" s="278">
        <f t="shared" si="1"/>
        <v>0.16659880914865374</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JP+cUNy+aeZ51IlgBgKUUaEHkV+1np5+o0ewSsvCXpC1hPLLqsNE2qNkuU8dF3X/NPyhHocD5V/Y5Fl67kZiJQ==" saltValue="c21iWY6J9pylfcAW18ctBg=="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2026-06-18T11:26:15Z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